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4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5.xml" ContentType="application/vnd.openxmlformats-officedocument.drawing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6.xml" ContentType="application/vnd.openxmlformats-officedocument.drawing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drawings/drawing7.xml" ContentType="application/vnd.openxmlformats-officedocument.drawing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drawings/drawing8.xml" ContentType="application/vnd.openxmlformats-officedocument.drawing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65" windowWidth="15120" windowHeight="6330"/>
  </bookViews>
  <sheets>
    <sheet name="FY2017" sheetId="12" r:id="rId1"/>
    <sheet name="FY2016" sheetId="11" r:id="rId2"/>
    <sheet name="FY2015" sheetId="10" r:id="rId3"/>
    <sheet name="FY2014" sheetId="9" r:id="rId4"/>
    <sheet name="FY2013" sheetId="7" r:id="rId5"/>
    <sheet name="FY2012" sheetId="6" r:id="rId6"/>
    <sheet name="FY2011" sheetId="1" r:id="rId7"/>
    <sheet name="FY2010" sheetId="5" r:id="rId8"/>
    <sheet name="Instructions" sheetId="2" r:id="rId9"/>
  </sheets>
  <definedNames>
    <definedName name="_xlnm.Print_Area" localSheetId="7">'FY2010'!$A$1:$N$139</definedName>
    <definedName name="_xlnm.Print_Area" localSheetId="6">'FY2011'!$A$1:$Q$207</definedName>
    <definedName name="_xlnm.Print_Area" localSheetId="5">'FY2012'!$A$1:$V$222</definedName>
    <definedName name="_xlnm.Print_Area" localSheetId="4">'FY2013'!$A$1:$V$250</definedName>
    <definedName name="_xlnm.Print_Area" localSheetId="3">'FY2014'!$A$1:$V$250</definedName>
    <definedName name="_xlnm.Print_Area" localSheetId="2">'FY2015'!$A$1:$V$250</definedName>
    <definedName name="_xlnm.Print_Titles" localSheetId="7">'FY2010'!$1:$2</definedName>
    <definedName name="_xlnm.Print_Titles" localSheetId="6">'FY2011'!$1:$2</definedName>
    <definedName name="_xlnm.Print_Titles" localSheetId="5">'FY2012'!$1:$2</definedName>
    <definedName name="_xlnm.Print_Titles" localSheetId="4">'FY2013'!$1:$2</definedName>
    <definedName name="_xlnm.Print_Titles" localSheetId="3">'FY2014'!$1:$2</definedName>
    <definedName name="_xlnm.Print_Titles" localSheetId="2">'FY2015'!$1:$2</definedName>
  </definedNames>
  <calcPr calcId="145621"/>
</workbook>
</file>

<file path=xl/calcChain.xml><?xml version="1.0" encoding="utf-8"?>
<calcChain xmlns="http://schemas.openxmlformats.org/spreadsheetml/2006/main">
  <c r="C179" i="12" l="1"/>
  <c r="B179" i="12"/>
  <c r="C85" i="12"/>
  <c r="B85" i="12"/>
  <c r="C68" i="12"/>
  <c r="E264" i="12" l="1"/>
  <c r="D280" i="12"/>
  <c r="H280" i="12"/>
  <c r="K280" i="12"/>
  <c r="T17" i="12" l="1"/>
  <c r="U17" i="12"/>
  <c r="V17" i="12"/>
  <c r="T33" i="12"/>
  <c r="U33" i="12"/>
  <c r="V33" i="12"/>
  <c r="T50" i="12"/>
  <c r="U50" i="12"/>
  <c r="V50" i="12"/>
  <c r="T67" i="12"/>
  <c r="U67" i="12"/>
  <c r="V67" i="12"/>
  <c r="T84" i="12"/>
  <c r="U84" i="12"/>
  <c r="T108" i="12"/>
  <c r="U108" i="12"/>
  <c r="V108" i="12"/>
  <c r="T126" i="12"/>
  <c r="U126" i="12"/>
  <c r="T143" i="12"/>
  <c r="U143" i="12"/>
  <c r="T178" i="12"/>
  <c r="U178" i="12"/>
  <c r="V178" i="12"/>
  <c r="T195" i="12"/>
  <c r="T223" i="12"/>
  <c r="U223" i="12"/>
  <c r="T262" i="12"/>
  <c r="U262" i="12"/>
  <c r="V262" i="12"/>
  <c r="K279" i="12"/>
  <c r="H279" i="12"/>
  <c r="D279" i="12"/>
  <c r="E263" i="12"/>
  <c r="B84" i="12"/>
  <c r="C84" i="12" l="1"/>
  <c r="C67" i="12"/>
  <c r="D108" i="12"/>
  <c r="C108" i="12"/>
  <c r="B108" i="12"/>
  <c r="D223" i="12"/>
  <c r="D224" i="12"/>
  <c r="D225" i="12"/>
  <c r="D226" i="12"/>
  <c r="T259" i="12" l="1"/>
  <c r="U259" i="12"/>
  <c r="V259" i="12"/>
  <c r="T260" i="12"/>
  <c r="U260" i="12"/>
  <c r="V260" i="12"/>
  <c r="T261" i="12"/>
  <c r="U261" i="12"/>
  <c r="V261" i="12"/>
  <c r="T219" i="12"/>
  <c r="U219" i="12"/>
  <c r="T220" i="12"/>
  <c r="U220" i="12"/>
  <c r="T221" i="12"/>
  <c r="U221" i="12"/>
  <c r="T222" i="12"/>
  <c r="U222" i="12"/>
  <c r="T191" i="12"/>
  <c r="T192" i="12"/>
  <c r="T193" i="12"/>
  <c r="T194" i="12"/>
  <c r="T174" i="12"/>
  <c r="U174" i="12"/>
  <c r="V174" i="12"/>
  <c r="T175" i="12"/>
  <c r="U175" i="12"/>
  <c r="V175" i="12"/>
  <c r="T176" i="12"/>
  <c r="U176" i="12"/>
  <c r="V176" i="12"/>
  <c r="T177" i="12"/>
  <c r="U177" i="12"/>
  <c r="V177" i="12"/>
  <c r="T139" i="12"/>
  <c r="U139" i="12"/>
  <c r="T140" i="12"/>
  <c r="U140" i="12"/>
  <c r="T141" i="12"/>
  <c r="U141" i="12"/>
  <c r="T142" i="12"/>
  <c r="U142" i="12"/>
  <c r="T122" i="12"/>
  <c r="U122" i="12"/>
  <c r="T123" i="12"/>
  <c r="U123" i="12"/>
  <c r="T124" i="12"/>
  <c r="U124" i="12"/>
  <c r="T125" i="12"/>
  <c r="U125" i="12"/>
  <c r="T104" i="12"/>
  <c r="U104" i="12"/>
  <c r="V104" i="12"/>
  <c r="T105" i="12"/>
  <c r="U105" i="12"/>
  <c r="V105" i="12"/>
  <c r="T106" i="12"/>
  <c r="U106" i="12"/>
  <c r="V106" i="12"/>
  <c r="T107" i="12"/>
  <c r="U107" i="12"/>
  <c r="V107" i="12"/>
  <c r="T80" i="12"/>
  <c r="U80" i="12"/>
  <c r="T81" i="12"/>
  <c r="U81" i="12"/>
  <c r="T82" i="12"/>
  <c r="U82" i="12"/>
  <c r="T83" i="12"/>
  <c r="U83" i="12"/>
  <c r="T63" i="12"/>
  <c r="U63" i="12"/>
  <c r="V63" i="12"/>
  <c r="T64" i="12"/>
  <c r="U64" i="12"/>
  <c r="V64" i="12"/>
  <c r="T65" i="12"/>
  <c r="U65" i="12"/>
  <c r="V65" i="12"/>
  <c r="T66" i="12"/>
  <c r="U66" i="12"/>
  <c r="V66" i="12"/>
  <c r="T46" i="12"/>
  <c r="U46" i="12"/>
  <c r="V46" i="12"/>
  <c r="T47" i="12"/>
  <c r="U47" i="12"/>
  <c r="V47" i="12"/>
  <c r="T48" i="12"/>
  <c r="U48" i="12"/>
  <c r="V48" i="12"/>
  <c r="T49" i="12"/>
  <c r="U49" i="12"/>
  <c r="V49" i="12"/>
  <c r="T29" i="12"/>
  <c r="U29" i="12"/>
  <c r="V29" i="12"/>
  <c r="T30" i="12"/>
  <c r="U30" i="12"/>
  <c r="V30" i="12"/>
  <c r="T31" i="12"/>
  <c r="U31" i="12"/>
  <c r="V31" i="12"/>
  <c r="T32" i="12"/>
  <c r="U32" i="12"/>
  <c r="V32" i="12"/>
  <c r="T13" i="12"/>
  <c r="U13" i="12"/>
  <c r="V13" i="12"/>
  <c r="T14" i="12"/>
  <c r="U14" i="12"/>
  <c r="V14" i="12"/>
  <c r="T15" i="12"/>
  <c r="U15" i="12"/>
  <c r="V15" i="12"/>
  <c r="T16" i="12"/>
  <c r="U16" i="12"/>
  <c r="V16" i="12"/>
  <c r="C83" i="12"/>
  <c r="B83" i="12"/>
  <c r="C66" i="12"/>
  <c r="B66" i="12"/>
  <c r="E262" i="12" l="1"/>
  <c r="C82" i="12" l="1"/>
  <c r="B82" i="12"/>
  <c r="C65" i="12"/>
  <c r="B65" i="12"/>
  <c r="C81" i="12" l="1"/>
  <c r="B81" i="12"/>
  <c r="C64" i="12"/>
  <c r="B64" i="12"/>
  <c r="B156" i="12" l="1"/>
  <c r="C80" i="12"/>
  <c r="B80" i="12"/>
  <c r="C63" i="12"/>
  <c r="B63" i="12"/>
  <c r="T266" i="12" l="1"/>
  <c r="U266" i="12"/>
  <c r="V266" i="12"/>
  <c r="C79" i="12"/>
  <c r="B79" i="12"/>
  <c r="C62" i="12"/>
  <c r="B62" i="12"/>
  <c r="C78" i="12" l="1"/>
  <c r="C61" i="12"/>
  <c r="B78" i="12"/>
  <c r="B61" i="12"/>
  <c r="C77" i="12" l="1"/>
  <c r="B77" i="12"/>
  <c r="C60" i="12"/>
  <c r="B60" i="12"/>
  <c r="C76" i="12"/>
  <c r="B76" i="12"/>
  <c r="C59" i="12"/>
  <c r="B59" i="12"/>
  <c r="C235" i="12" l="1"/>
  <c r="C162" i="12"/>
  <c r="C163" i="12"/>
  <c r="B162" i="12"/>
  <c r="B163" i="12"/>
  <c r="K278" i="12"/>
  <c r="H278" i="12"/>
  <c r="D278" i="12"/>
  <c r="K277" i="12"/>
  <c r="H277" i="12"/>
  <c r="D277" i="12"/>
  <c r="K276" i="12"/>
  <c r="H276" i="12"/>
  <c r="D276" i="12"/>
  <c r="K275" i="12"/>
  <c r="H275" i="12"/>
  <c r="D275" i="12"/>
  <c r="K274" i="12"/>
  <c r="H274" i="12"/>
  <c r="D274" i="12"/>
  <c r="K273" i="12"/>
  <c r="H273" i="12"/>
  <c r="D273" i="12"/>
  <c r="K272" i="12"/>
  <c r="H272" i="12"/>
  <c r="D272" i="12"/>
  <c r="K271" i="12"/>
  <c r="H271" i="12"/>
  <c r="D271" i="12"/>
  <c r="E261" i="12"/>
  <c r="E260" i="12"/>
  <c r="E259" i="12"/>
  <c r="V258" i="12"/>
  <c r="U258" i="12"/>
  <c r="T258" i="12"/>
  <c r="E258" i="12"/>
  <c r="V257" i="12"/>
  <c r="U257" i="12"/>
  <c r="T257" i="12"/>
  <c r="E257" i="12"/>
  <c r="V256" i="12"/>
  <c r="U256" i="12"/>
  <c r="T256" i="12"/>
  <c r="E256" i="12"/>
  <c r="V255" i="12"/>
  <c r="U255" i="12"/>
  <c r="T255" i="12"/>
  <c r="E255" i="12"/>
  <c r="D247" i="12"/>
  <c r="C247" i="12"/>
  <c r="C227" i="12"/>
  <c r="B227" i="12"/>
  <c r="D222" i="12"/>
  <c r="D221" i="12"/>
  <c r="D220" i="12"/>
  <c r="D219" i="12"/>
  <c r="U218" i="12"/>
  <c r="T218" i="12"/>
  <c r="D218" i="12"/>
  <c r="U217" i="12"/>
  <c r="T217" i="12"/>
  <c r="D217" i="12"/>
  <c r="U216" i="12"/>
  <c r="T216" i="12"/>
  <c r="D216" i="12"/>
  <c r="U215" i="12"/>
  <c r="T215" i="12"/>
  <c r="D215" i="12"/>
  <c r="B199" i="12"/>
  <c r="T190" i="12"/>
  <c r="T189" i="12"/>
  <c r="T188" i="12"/>
  <c r="T187" i="12"/>
  <c r="D182" i="12"/>
  <c r="C182" i="12"/>
  <c r="B182" i="12"/>
  <c r="V173" i="12"/>
  <c r="U173" i="12"/>
  <c r="T173" i="12"/>
  <c r="V172" i="12"/>
  <c r="U172" i="12"/>
  <c r="T172" i="12"/>
  <c r="V171" i="12"/>
  <c r="U171" i="12"/>
  <c r="T171" i="12"/>
  <c r="V170" i="12"/>
  <c r="U170" i="12"/>
  <c r="T170" i="12"/>
  <c r="B145" i="12"/>
  <c r="C144" i="12"/>
  <c r="B144" i="12"/>
  <c r="B141" i="12"/>
  <c r="B140" i="12"/>
  <c r="B137" i="12"/>
  <c r="T137" i="12" s="1"/>
  <c r="C136" i="12"/>
  <c r="U136" i="12" s="1"/>
  <c r="B136" i="12"/>
  <c r="T136" i="12" s="1"/>
  <c r="C129" i="12"/>
  <c r="C128" i="12"/>
  <c r="B128" i="12"/>
  <c r="C127" i="12"/>
  <c r="C126" i="12"/>
  <c r="B126" i="12"/>
  <c r="C125" i="12"/>
  <c r="B124" i="12"/>
  <c r="C123" i="12"/>
  <c r="B123" i="12"/>
  <c r="C122" i="12"/>
  <c r="B122" i="12"/>
  <c r="C121" i="12"/>
  <c r="U121" i="12" s="1"/>
  <c r="B121" i="12"/>
  <c r="T121" i="12" s="1"/>
  <c r="C120" i="12"/>
  <c r="U120" i="12" s="1"/>
  <c r="B120" i="12"/>
  <c r="T120" i="12" s="1"/>
  <c r="C119" i="12"/>
  <c r="U119" i="12" s="1"/>
  <c r="C118" i="12"/>
  <c r="U118" i="12" s="1"/>
  <c r="B118" i="12"/>
  <c r="T118" i="12" s="1"/>
  <c r="D112" i="12"/>
  <c r="C112" i="12"/>
  <c r="B112" i="12"/>
  <c r="V103" i="12"/>
  <c r="U103" i="12"/>
  <c r="T103" i="12"/>
  <c r="V102" i="12"/>
  <c r="U102" i="12"/>
  <c r="T102" i="12"/>
  <c r="V101" i="12"/>
  <c r="U101" i="12"/>
  <c r="T101" i="12"/>
  <c r="V100" i="12"/>
  <c r="U100" i="12"/>
  <c r="T100" i="12"/>
  <c r="C146" i="12"/>
  <c r="D85" i="12"/>
  <c r="C142" i="12"/>
  <c r="B142" i="12"/>
  <c r="C138" i="12"/>
  <c r="U138" i="12" s="1"/>
  <c r="T78" i="12"/>
  <c r="T77" i="12"/>
  <c r="D77" i="12"/>
  <c r="D70" i="12"/>
  <c r="D68" i="12"/>
  <c r="D66" i="12"/>
  <c r="D64" i="12"/>
  <c r="D63" i="12"/>
  <c r="U62" i="12"/>
  <c r="T62" i="12"/>
  <c r="D62" i="12"/>
  <c r="V62" i="12" s="1"/>
  <c r="T61" i="12"/>
  <c r="U61" i="12"/>
  <c r="U60" i="12"/>
  <c r="U77" i="12"/>
  <c r="D60" i="12"/>
  <c r="V60" i="12" s="1"/>
  <c r="T59" i="12"/>
  <c r="B71" i="12"/>
  <c r="C53" i="12"/>
  <c r="B53" i="12"/>
  <c r="C52" i="12"/>
  <c r="B52" i="12"/>
  <c r="C51" i="12"/>
  <c r="B51" i="12"/>
  <c r="C50" i="12"/>
  <c r="B50" i="12"/>
  <c r="C49" i="12"/>
  <c r="B49" i="12"/>
  <c r="C48" i="12"/>
  <c r="B48" i="12"/>
  <c r="C47" i="12"/>
  <c r="B47" i="12"/>
  <c r="C46" i="12"/>
  <c r="B46" i="12"/>
  <c r="C45" i="12"/>
  <c r="U45" i="12" s="1"/>
  <c r="B45" i="12"/>
  <c r="T45" i="12" s="1"/>
  <c r="C44" i="12"/>
  <c r="U44" i="12" s="1"/>
  <c r="B44" i="12"/>
  <c r="T44" i="12" s="1"/>
  <c r="C43" i="12"/>
  <c r="U43" i="12" s="1"/>
  <c r="B43" i="12"/>
  <c r="T43" i="12" s="1"/>
  <c r="C42" i="12"/>
  <c r="U42" i="12" s="1"/>
  <c r="B42" i="12"/>
  <c r="T42" i="12" s="1"/>
  <c r="C37" i="12"/>
  <c r="B37" i="12"/>
  <c r="D36" i="12"/>
  <c r="D35" i="12"/>
  <c r="D34" i="12"/>
  <c r="D33" i="12"/>
  <c r="D32" i="12"/>
  <c r="D31" i="12"/>
  <c r="D30" i="12"/>
  <c r="D29" i="12"/>
  <c r="U28" i="12"/>
  <c r="T28" i="12"/>
  <c r="D28" i="12"/>
  <c r="V28" i="12" s="1"/>
  <c r="U27" i="12"/>
  <c r="T27" i="12"/>
  <c r="D27" i="12"/>
  <c r="V27" i="12" s="1"/>
  <c r="U26" i="12"/>
  <c r="T26" i="12"/>
  <c r="D26" i="12"/>
  <c r="U25" i="12"/>
  <c r="T25" i="12"/>
  <c r="D25" i="12"/>
  <c r="V25" i="12" s="1"/>
  <c r="C21" i="12"/>
  <c r="B21" i="12"/>
  <c r="D20" i="12"/>
  <c r="D19" i="12"/>
  <c r="D18" i="12"/>
  <c r="D17" i="12"/>
  <c r="D16" i="12"/>
  <c r="D15" i="12"/>
  <c r="D14" i="12"/>
  <c r="D13" i="12"/>
  <c r="U12" i="12"/>
  <c r="T12" i="12"/>
  <c r="D12" i="12"/>
  <c r="V12" i="12" s="1"/>
  <c r="U11" i="12"/>
  <c r="T11" i="12"/>
  <c r="D11" i="12"/>
  <c r="U10" i="12"/>
  <c r="T10" i="12"/>
  <c r="D10" i="12"/>
  <c r="V10" i="12" s="1"/>
  <c r="U9" i="12"/>
  <c r="T9" i="12"/>
  <c r="D9" i="12"/>
  <c r="C161" i="12" l="1"/>
  <c r="C159" i="12"/>
  <c r="B158" i="12"/>
  <c r="B157" i="12"/>
  <c r="D227" i="12"/>
  <c r="C155" i="12"/>
  <c r="U37" i="12"/>
  <c r="T37" i="12"/>
  <c r="B154" i="12"/>
  <c r="U182" i="12"/>
  <c r="V182" i="12"/>
  <c r="T112" i="12"/>
  <c r="V112" i="12"/>
  <c r="D37" i="12"/>
  <c r="C153" i="12"/>
  <c r="V26" i="12"/>
  <c r="V37" i="12" s="1"/>
  <c r="B54" i="12"/>
  <c r="T227" i="12"/>
  <c r="T199" i="12"/>
  <c r="U112" i="12"/>
  <c r="U79" i="12"/>
  <c r="C54" i="12"/>
  <c r="U21" i="12"/>
  <c r="T54" i="12"/>
  <c r="D45" i="12"/>
  <c r="V45" i="12" s="1"/>
  <c r="D53" i="12"/>
  <c r="U54" i="12"/>
  <c r="B88" i="12"/>
  <c r="C140" i="12"/>
  <c r="C157" i="12" s="1"/>
  <c r="D42" i="12"/>
  <c r="V42" i="12" s="1"/>
  <c r="D21" i="12"/>
  <c r="V9" i="12"/>
  <c r="D47" i="12"/>
  <c r="U59" i="12"/>
  <c r="T76" i="12"/>
  <c r="D79" i="12"/>
  <c r="T79" i="12"/>
  <c r="D87" i="12"/>
  <c r="B127" i="12"/>
  <c r="B161" i="12" s="1"/>
  <c r="B143" i="12"/>
  <c r="B160" i="12" s="1"/>
  <c r="D44" i="12"/>
  <c r="V44" i="12" s="1"/>
  <c r="V11" i="12"/>
  <c r="D48" i="12"/>
  <c r="D52" i="12"/>
  <c r="D43" i="12"/>
  <c r="V43" i="12" s="1"/>
  <c r="D51" i="12"/>
  <c r="T60" i="12"/>
  <c r="D61" i="12"/>
  <c r="V61" i="12" s="1"/>
  <c r="D80" i="12"/>
  <c r="D69" i="12"/>
  <c r="B138" i="12"/>
  <c r="B146" i="12"/>
  <c r="T182" i="12"/>
  <c r="D81" i="12"/>
  <c r="C124" i="12"/>
  <c r="C130" i="12" s="1"/>
  <c r="D46" i="12"/>
  <c r="D50" i="12"/>
  <c r="D65" i="12"/>
  <c r="C71" i="12"/>
  <c r="D83" i="12"/>
  <c r="B119" i="12"/>
  <c r="B125" i="12"/>
  <c r="B159" i="12" s="1"/>
  <c r="B129" i="12"/>
  <c r="B135" i="12"/>
  <c r="B152" i="12" s="1"/>
  <c r="B139" i="12"/>
  <c r="T21" i="12"/>
  <c r="D49" i="12"/>
  <c r="D59" i="12"/>
  <c r="D67" i="12"/>
  <c r="U227" i="12"/>
  <c r="K282" i="11"/>
  <c r="H282" i="11"/>
  <c r="D282" i="11"/>
  <c r="E266" i="11"/>
  <c r="T226" i="11"/>
  <c r="U226" i="11"/>
  <c r="D226" i="11"/>
  <c r="T181" i="11"/>
  <c r="U181" i="11"/>
  <c r="V181" i="11"/>
  <c r="B163" i="11"/>
  <c r="C163" i="11"/>
  <c r="T145" i="11"/>
  <c r="U145" i="11"/>
  <c r="T146" i="11"/>
  <c r="U146" i="11"/>
  <c r="B146" i="11"/>
  <c r="C146" i="11"/>
  <c r="T128" i="11"/>
  <c r="U128" i="11"/>
  <c r="T129" i="11"/>
  <c r="U129" i="11"/>
  <c r="B129" i="11"/>
  <c r="C129" i="11"/>
  <c r="T111" i="11"/>
  <c r="U111" i="11"/>
  <c r="V111" i="11"/>
  <c r="T87" i="11"/>
  <c r="U87" i="11"/>
  <c r="D87" i="11"/>
  <c r="C87" i="11"/>
  <c r="B87" i="11"/>
  <c r="T70" i="11"/>
  <c r="U70" i="11"/>
  <c r="V70" i="11"/>
  <c r="D70" i="11"/>
  <c r="C70" i="11"/>
  <c r="B70" i="11"/>
  <c r="T36" i="11"/>
  <c r="U36" i="11"/>
  <c r="V36" i="11"/>
  <c r="T20" i="11"/>
  <c r="U20" i="11"/>
  <c r="V20" i="11"/>
  <c r="D36" i="11"/>
  <c r="U130" i="12" l="1"/>
  <c r="T138" i="12"/>
  <c r="B155" i="12"/>
  <c r="T71" i="12"/>
  <c r="D54" i="12"/>
  <c r="T119" i="12"/>
  <c r="B153" i="12"/>
  <c r="U71" i="12"/>
  <c r="D71" i="12"/>
  <c r="V59" i="12"/>
  <c r="V71" i="12" s="1"/>
  <c r="T135" i="12"/>
  <c r="B147" i="12"/>
  <c r="C143" i="12"/>
  <c r="C160" i="12" s="1"/>
  <c r="B130" i="12"/>
  <c r="C145" i="12"/>
  <c r="D86" i="12"/>
  <c r="C88" i="12"/>
  <c r="C135" i="12"/>
  <c r="C152" i="12" s="1"/>
  <c r="U76" i="12"/>
  <c r="V54" i="12"/>
  <c r="D84" i="12"/>
  <c r="C141" i="12"/>
  <c r="C158" i="12" s="1"/>
  <c r="D82" i="12"/>
  <c r="D76" i="12"/>
  <c r="C139" i="12"/>
  <c r="C156" i="12" s="1"/>
  <c r="U78" i="12"/>
  <c r="C137" i="12"/>
  <c r="D78" i="12"/>
  <c r="T88" i="12"/>
  <c r="V21" i="12"/>
  <c r="K281" i="11"/>
  <c r="H281" i="11"/>
  <c r="D281" i="11"/>
  <c r="E265" i="11"/>
  <c r="T225" i="11"/>
  <c r="U225" i="11"/>
  <c r="D225" i="11"/>
  <c r="D224" i="11"/>
  <c r="T197" i="11"/>
  <c r="T180" i="11"/>
  <c r="U180" i="11"/>
  <c r="V180" i="11"/>
  <c r="B162" i="11"/>
  <c r="C162" i="11"/>
  <c r="B145" i="11"/>
  <c r="C145" i="11"/>
  <c r="B128" i="11"/>
  <c r="C128" i="11"/>
  <c r="T110" i="11"/>
  <c r="U110" i="11"/>
  <c r="V110" i="11"/>
  <c r="T86" i="11"/>
  <c r="U86" i="11"/>
  <c r="D85" i="11"/>
  <c r="D86" i="11"/>
  <c r="C86" i="11"/>
  <c r="B86" i="11"/>
  <c r="T69" i="11"/>
  <c r="U69" i="11"/>
  <c r="V69" i="11"/>
  <c r="D69" i="11"/>
  <c r="C69" i="11"/>
  <c r="B69" i="11"/>
  <c r="T52" i="11"/>
  <c r="U52" i="11"/>
  <c r="V52" i="11"/>
  <c r="T35" i="11"/>
  <c r="U35" i="11"/>
  <c r="V35" i="11"/>
  <c r="T19" i="11"/>
  <c r="U19" i="11"/>
  <c r="V19" i="11"/>
  <c r="D35" i="11"/>
  <c r="T147" i="12" l="1"/>
  <c r="U137" i="12"/>
  <c r="C154" i="12"/>
  <c r="C164" i="12" s="1"/>
  <c r="T130" i="12"/>
  <c r="U88" i="12"/>
  <c r="U135" i="12"/>
  <c r="C147" i="12"/>
  <c r="D88" i="12"/>
  <c r="B164" i="12"/>
  <c r="T127" i="11"/>
  <c r="U127" i="11"/>
  <c r="T144" i="11"/>
  <c r="U144" i="11"/>
  <c r="T179" i="11"/>
  <c r="U179" i="11"/>
  <c r="V179" i="11"/>
  <c r="T196" i="11"/>
  <c r="C161" i="11"/>
  <c r="B161" i="11"/>
  <c r="B144" i="11"/>
  <c r="C144" i="11"/>
  <c r="B127" i="11"/>
  <c r="C127" i="11"/>
  <c r="T85" i="11"/>
  <c r="U85" i="11"/>
  <c r="C85" i="11"/>
  <c r="B85" i="11"/>
  <c r="T34" i="11"/>
  <c r="U34" i="11"/>
  <c r="V34" i="11"/>
  <c r="T51" i="11"/>
  <c r="T68" i="11"/>
  <c r="U68" i="11"/>
  <c r="V68" i="11"/>
  <c r="D68" i="11"/>
  <c r="C68" i="11"/>
  <c r="B68" i="11"/>
  <c r="U147" i="12" l="1"/>
  <c r="C164" i="11"/>
  <c r="B164" i="11"/>
  <c r="T109" i="11" l="1"/>
  <c r="U109" i="11"/>
  <c r="V109" i="11"/>
  <c r="B51" i="11"/>
  <c r="C51" i="11"/>
  <c r="U51" i="11" s="1"/>
  <c r="D34" i="11"/>
  <c r="T18" i="11"/>
  <c r="U18" i="11"/>
  <c r="T264" i="11"/>
  <c r="U264" i="11"/>
  <c r="V264" i="11"/>
  <c r="T224" i="11"/>
  <c r="U224" i="11"/>
  <c r="K280" i="11"/>
  <c r="H280" i="11"/>
  <c r="D280" i="11"/>
  <c r="E264" i="11"/>
  <c r="T262" i="11" l="1"/>
  <c r="U262" i="11"/>
  <c r="V262" i="11"/>
  <c r="T263" i="11"/>
  <c r="U263" i="11"/>
  <c r="V263" i="11"/>
  <c r="T222" i="11"/>
  <c r="U222" i="11"/>
  <c r="T223" i="11"/>
  <c r="U223" i="11"/>
  <c r="D223" i="11"/>
  <c r="T194" i="11"/>
  <c r="T195" i="11"/>
  <c r="T177" i="11"/>
  <c r="U177" i="11"/>
  <c r="V177" i="11"/>
  <c r="T178" i="11"/>
  <c r="U178" i="11"/>
  <c r="V178" i="11"/>
  <c r="T108" i="11"/>
  <c r="U108" i="11"/>
  <c r="V108" i="11"/>
  <c r="T107" i="11"/>
  <c r="U107" i="11"/>
  <c r="V107" i="11"/>
  <c r="B84" i="11"/>
  <c r="T84" i="11" s="1"/>
  <c r="C67" i="11"/>
  <c r="C126" i="11" s="1"/>
  <c r="U126" i="11" s="1"/>
  <c r="B67" i="11"/>
  <c r="T67" i="11" s="1"/>
  <c r="B83" i="11"/>
  <c r="T83" i="11" s="1"/>
  <c r="T66" i="11"/>
  <c r="C66" i="11"/>
  <c r="U66" i="11" s="1"/>
  <c r="B66" i="11"/>
  <c r="T16" i="11"/>
  <c r="U16" i="11"/>
  <c r="T17" i="11"/>
  <c r="U17" i="11"/>
  <c r="T32" i="11"/>
  <c r="U32" i="11"/>
  <c r="T33" i="11"/>
  <c r="U33" i="11"/>
  <c r="D33" i="11"/>
  <c r="V33" i="11" s="1"/>
  <c r="D32" i="11"/>
  <c r="V32" i="11" s="1"/>
  <c r="B126" i="11" l="1"/>
  <c r="T126" i="11" s="1"/>
  <c r="D67" i="11"/>
  <c r="V67" i="11" s="1"/>
  <c r="C83" i="11"/>
  <c r="U83" i="11" s="1"/>
  <c r="C84" i="11"/>
  <c r="B143" i="11"/>
  <c r="T143" i="11" s="1"/>
  <c r="D66" i="11"/>
  <c r="V66" i="11" s="1"/>
  <c r="D83" i="11"/>
  <c r="D84" i="11"/>
  <c r="U67" i="11"/>
  <c r="K279" i="11"/>
  <c r="H279" i="11"/>
  <c r="D279" i="11"/>
  <c r="E263" i="11"/>
  <c r="C143" i="11" l="1"/>
  <c r="U143" i="11" s="1"/>
  <c r="U84" i="11"/>
  <c r="B142" i="11"/>
  <c r="T142" i="11" s="1"/>
  <c r="C142" i="11"/>
  <c r="U142" i="11" s="1"/>
  <c r="B125" i="11"/>
  <c r="T125" i="11" s="1"/>
  <c r="C125" i="11"/>
  <c r="U125" i="11" s="1"/>
  <c r="D222" i="11"/>
  <c r="K278" i="11"/>
  <c r="H278" i="11"/>
  <c r="D278" i="11"/>
  <c r="E262" i="11"/>
  <c r="B82" i="11" l="1"/>
  <c r="T82" i="11" s="1"/>
  <c r="C65" i="11"/>
  <c r="B65" i="11"/>
  <c r="T65" i="11" s="1"/>
  <c r="D31" i="11"/>
  <c r="V31" i="11" s="1"/>
  <c r="T15" i="11"/>
  <c r="U15" i="11"/>
  <c r="T31" i="11"/>
  <c r="U31" i="11"/>
  <c r="T106" i="11"/>
  <c r="U106" i="11"/>
  <c r="V106" i="11"/>
  <c r="T176" i="11"/>
  <c r="U176" i="11"/>
  <c r="V176" i="11"/>
  <c r="T193" i="11"/>
  <c r="T221" i="11"/>
  <c r="U221" i="11"/>
  <c r="D221" i="11"/>
  <c r="T261" i="11"/>
  <c r="U261" i="11"/>
  <c r="V261" i="11"/>
  <c r="E261" i="11"/>
  <c r="K277" i="11"/>
  <c r="H277" i="11"/>
  <c r="D277" i="11"/>
  <c r="D65" i="11" l="1"/>
  <c r="V65" i="11" s="1"/>
  <c r="U65" i="11"/>
  <c r="C82" i="11"/>
  <c r="U82" i="11" s="1"/>
  <c r="B141" i="11"/>
  <c r="T141" i="11" s="1"/>
  <c r="C124" i="11"/>
  <c r="U124" i="11" s="1"/>
  <c r="B124" i="11"/>
  <c r="T124" i="11" s="1"/>
  <c r="T175" i="11"/>
  <c r="U175" i="11"/>
  <c r="V175" i="11"/>
  <c r="T192" i="11"/>
  <c r="T260" i="11"/>
  <c r="U260" i="11"/>
  <c r="V260" i="11"/>
  <c r="E260" i="11"/>
  <c r="K276" i="11"/>
  <c r="H276" i="11"/>
  <c r="D276" i="11"/>
  <c r="T220" i="11"/>
  <c r="U220" i="11"/>
  <c r="D220" i="11"/>
  <c r="T105" i="11"/>
  <c r="U105" i="11"/>
  <c r="V105" i="11"/>
  <c r="B81" i="11"/>
  <c r="T81" i="11" s="1"/>
  <c r="T64" i="11"/>
  <c r="C64" i="11"/>
  <c r="C81" i="11" s="1"/>
  <c r="B64" i="11"/>
  <c r="B123" i="11" s="1"/>
  <c r="T123" i="11" s="1"/>
  <c r="T30" i="11"/>
  <c r="U30" i="11"/>
  <c r="T14" i="11"/>
  <c r="U14" i="11"/>
  <c r="D30" i="11"/>
  <c r="V30" i="11" s="1"/>
  <c r="C141" i="11" l="1"/>
  <c r="U141" i="11" s="1"/>
  <c r="B140" i="11"/>
  <c r="T140" i="11" s="1"/>
  <c r="U81" i="11"/>
  <c r="C140" i="11"/>
  <c r="U140" i="11" s="1"/>
  <c r="U64" i="11"/>
  <c r="D81" i="11"/>
  <c r="D82" i="11"/>
  <c r="D64" i="11"/>
  <c r="V64" i="11" s="1"/>
  <c r="C123" i="11"/>
  <c r="U123" i="11" s="1"/>
  <c r="B123" i="10"/>
  <c r="T256" i="11"/>
  <c r="U256" i="11"/>
  <c r="V256" i="11"/>
  <c r="T257" i="11"/>
  <c r="U257" i="11"/>
  <c r="V257" i="11"/>
  <c r="T258" i="11"/>
  <c r="U258" i="11"/>
  <c r="V258" i="11"/>
  <c r="T259" i="11"/>
  <c r="U259" i="11"/>
  <c r="V259" i="11"/>
  <c r="T217" i="11"/>
  <c r="U217" i="11"/>
  <c r="T218" i="11"/>
  <c r="U218" i="11"/>
  <c r="T219" i="11"/>
  <c r="U219" i="11"/>
  <c r="T188" i="11"/>
  <c r="T189" i="11"/>
  <c r="T190" i="11"/>
  <c r="T191" i="11"/>
  <c r="U174" i="11"/>
  <c r="T171" i="11"/>
  <c r="U171" i="11"/>
  <c r="V171" i="11"/>
  <c r="T172" i="11"/>
  <c r="U172" i="11"/>
  <c r="V172" i="11"/>
  <c r="T173" i="11"/>
  <c r="U173" i="11"/>
  <c r="V173" i="11"/>
  <c r="T174" i="11"/>
  <c r="V174" i="11"/>
  <c r="B80" i="11"/>
  <c r="C63" i="11"/>
  <c r="U63" i="11" s="1"/>
  <c r="B63" i="11"/>
  <c r="T63" i="11" s="1"/>
  <c r="T104" i="11"/>
  <c r="U104" i="11"/>
  <c r="V104" i="11"/>
  <c r="T103" i="11"/>
  <c r="U103" i="11"/>
  <c r="V103" i="11"/>
  <c r="B79" i="11"/>
  <c r="T79" i="11" s="1"/>
  <c r="C62" i="11"/>
  <c r="U62" i="11" s="1"/>
  <c r="B62" i="11"/>
  <c r="T62" i="11" s="1"/>
  <c r="T13" i="11"/>
  <c r="U13" i="11"/>
  <c r="T29" i="11"/>
  <c r="U29" i="11"/>
  <c r="T28" i="11"/>
  <c r="U28" i="11"/>
  <c r="T12" i="11"/>
  <c r="U12" i="11"/>
  <c r="D218" i="11"/>
  <c r="D237" i="11"/>
  <c r="C237" i="11"/>
  <c r="T102" i="11"/>
  <c r="U102" i="11"/>
  <c r="V102" i="11"/>
  <c r="B78" i="11"/>
  <c r="T78" i="11" s="1"/>
  <c r="C61" i="11"/>
  <c r="U61" i="11" s="1"/>
  <c r="B61" i="11"/>
  <c r="T61" i="11" s="1"/>
  <c r="T216" i="11"/>
  <c r="U216" i="11"/>
  <c r="T101" i="11"/>
  <c r="U101" i="11"/>
  <c r="V101" i="11"/>
  <c r="B77" i="11"/>
  <c r="T77" i="11" s="1"/>
  <c r="C60" i="11"/>
  <c r="C77" i="11" s="1"/>
  <c r="U77" i="11" s="1"/>
  <c r="B60" i="11"/>
  <c r="T60" i="11" s="1"/>
  <c r="C59" i="11"/>
  <c r="C76" i="11" s="1"/>
  <c r="B76" i="11"/>
  <c r="B59" i="11"/>
  <c r="B118" i="11" s="1"/>
  <c r="U60" i="11" l="1"/>
  <c r="C80" i="11"/>
  <c r="U80" i="11" s="1"/>
  <c r="C79" i="11"/>
  <c r="U79" i="11" s="1"/>
  <c r="T80" i="11"/>
  <c r="C78" i="11"/>
  <c r="U78" i="11" s="1"/>
  <c r="J274" i="11"/>
  <c r="D80" i="11" l="1"/>
  <c r="T11" i="11"/>
  <c r="U11" i="11"/>
  <c r="T27" i="11"/>
  <c r="U27" i="11"/>
  <c r="U26" i="11"/>
  <c r="T26" i="11"/>
  <c r="U10" i="11"/>
  <c r="T10" i="11"/>
  <c r="B43" i="11"/>
  <c r="T43" i="11" s="1"/>
  <c r="B44" i="11"/>
  <c r="T44" i="11" s="1"/>
  <c r="B45" i="11"/>
  <c r="T45" i="11" s="1"/>
  <c r="B46" i="11"/>
  <c r="T46" i="11" s="1"/>
  <c r="B47" i="11"/>
  <c r="T47" i="11" s="1"/>
  <c r="B48" i="11"/>
  <c r="T48" i="11" s="1"/>
  <c r="B49" i="11"/>
  <c r="T49" i="11" s="1"/>
  <c r="B50" i="11"/>
  <c r="T50" i="11" s="1"/>
  <c r="B52" i="11"/>
  <c r="B53" i="11"/>
  <c r="B42" i="11"/>
  <c r="T42" i="11" s="1"/>
  <c r="C43" i="11"/>
  <c r="U43" i="11" s="1"/>
  <c r="C44" i="11"/>
  <c r="U44" i="11" s="1"/>
  <c r="C45" i="11"/>
  <c r="U45" i="11" s="1"/>
  <c r="C46" i="11"/>
  <c r="U46" i="11" s="1"/>
  <c r="C47" i="11"/>
  <c r="U47" i="11" s="1"/>
  <c r="C48" i="11"/>
  <c r="U48" i="11" s="1"/>
  <c r="C49" i="11"/>
  <c r="U49" i="11" s="1"/>
  <c r="C50" i="11"/>
  <c r="U50" i="11" s="1"/>
  <c r="C52" i="11"/>
  <c r="C53" i="11"/>
  <c r="C42" i="11"/>
  <c r="U42" i="11" s="1"/>
  <c r="V255" i="11"/>
  <c r="U255" i="11"/>
  <c r="T255" i="11"/>
  <c r="U215" i="11"/>
  <c r="T215" i="11"/>
  <c r="T187" i="11"/>
  <c r="V170" i="11"/>
  <c r="V182" i="11" s="1"/>
  <c r="U170" i="11"/>
  <c r="U182" i="11" s="1"/>
  <c r="T170" i="11"/>
  <c r="V100" i="11"/>
  <c r="U100" i="11"/>
  <c r="U112" i="11" s="1"/>
  <c r="T100" i="11"/>
  <c r="U76" i="11"/>
  <c r="T76" i="11"/>
  <c r="U59" i="11"/>
  <c r="T59" i="11"/>
  <c r="U25" i="11"/>
  <c r="U9" i="11"/>
  <c r="T25" i="11"/>
  <c r="T9" i="11"/>
  <c r="D215" i="11"/>
  <c r="K275" i="11"/>
  <c r="H275" i="11"/>
  <c r="D275" i="11"/>
  <c r="K274" i="11"/>
  <c r="H274" i="11"/>
  <c r="D274" i="11"/>
  <c r="K273" i="11"/>
  <c r="H273" i="11"/>
  <c r="D273" i="11"/>
  <c r="K272" i="11"/>
  <c r="H272" i="11"/>
  <c r="D272" i="11"/>
  <c r="K271" i="11"/>
  <c r="H271" i="11"/>
  <c r="D271" i="11"/>
  <c r="E259" i="11"/>
  <c r="E258" i="11"/>
  <c r="E257" i="11"/>
  <c r="E256" i="11"/>
  <c r="E255" i="11"/>
  <c r="D247" i="11"/>
  <c r="C247" i="11"/>
  <c r="D219" i="11"/>
  <c r="D217" i="11"/>
  <c r="D216" i="11"/>
  <c r="C227" i="11"/>
  <c r="B199" i="11"/>
  <c r="D182" i="11"/>
  <c r="C182" i="11"/>
  <c r="B182" i="11"/>
  <c r="D112" i="11"/>
  <c r="C112" i="11"/>
  <c r="B112" i="11"/>
  <c r="C122" i="11"/>
  <c r="U122" i="11" s="1"/>
  <c r="B122" i="11"/>
  <c r="T122" i="11" s="1"/>
  <c r="C121" i="11"/>
  <c r="U121" i="11" s="1"/>
  <c r="D62" i="11"/>
  <c r="V62" i="11" s="1"/>
  <c r="C120" i="11"/>
  <c r="U120" i="11" s="1"/>
  <c r="B120" i="11"/>
  <c r="T120" i="11" s="1"/>
  <c r="C119" i="11"/>
  <c r="U119" i="11" s="1"/>
  <c r="D60" i="11"/>
  <c r="V60" i="11" s="1"/>
  <c r="C118" i="11"/>
  <c r="B71" i="11"/>
  <c r="C37" i="11"/>
  <c r="B37" i="11"/>
  <c r="D29" i="11"/>
  <c r="V29" i="11" s="1"/>
  <c r="D28" i="11"/>
  <c r="V28" i="11" s="1"/>
  <c r="D27" i="11"/>
  <c r="V27" i="11" s="1"/>
  <c r="D26" i="11"/>
  <c r="V26" i="11" s="1"/>
  <c r="D25" i="11"/>
  <c r="C21" i="11"/>
  <c r="B21" i="11"/>
  <c r="D20" i="11"/>
  <c r="D53" i="11" s="1"/>
  <c r="D19" i="11"/>
  <c r="D52" i="11" s="1"/>
  <c r="D18" i="11"/>
  <c r="D17" i="11"/>
  <c r="D16" i="11"/>
  <c r="D15" i="11"/>
  <c r="V15" i="11" s="1"/>
  <c r="D14" i="11"/>
  <c r="D13" i="11"/>
  <c r="V13" i="11" s="1"/>
  <c r="D12" i="11"/>
  <c r="V12" i="11" s="1"/>
  <c r="D11" i="11"/>
  <c r="V11" i="11" s="1"/>
  <c r="D10" i="11"/>
  <c r="V10" i="11" s="1"/>
  <c r="D9" i="11"/>
  <c r="V9" i="11" s="1"/>
  <c r="D51" i="11" l="1"/>
  <c r="V51" i="11" s="1"/>
  <c r="V18" i="11"/>
  <c r="D50" i="11"/>
  <c r="V50" i="11" s="1"/>
  <c r="V17" i="11"/>
  <c r="D49" i="11"/>
  <c r="V49" i="11" s="1"/>
  <c r="V16" i="11"/>
  <c r="D47" i="11"/>
  <c r="V47" i="11" s="1"/>
  <c r="V14" i="11"/>
  <c r="D42" i="11"/>
  <c r="V42" i="11" s="1"/>
  <c r="T37" i="11"/>
  <c r="U118" i="11"/>
  <c r="U130" i="11" s="1"/>
  <c r="C130" i="11"/>
  <c r="D48" i="11"/>
  <c r="V48" i="11" s="1"/>
  <c r="D46" i="11"/>
  <c r="V46" i="11" s="1"/>
  <c r="D45" i="11"/>
  <c r="V45" i="11" s="1"/>
  <c r="D44" i="11"/>
  <c r="V44" i="11" s="1"/>
  <c r="T21" i="11"/>
  <c r="D43" i="11"/>
  <c r="V43" i="11" s="1"/>
  <c r="D37" i="11"/>
  <c r="V25" i="11"/>
  <c r="V37" i="11" s="1"/>
  <c r="V112" i="11"/>
  <c r="T182" i="11"/>
  <c r="T112" i="11"/>
  <c r="U37" i="11"/>
  <c r="C54" i="11"/>
  <c r="B54" i="11"/>
  <c r="U54" i="11"/>
  <c r="U21" i="11"/>
  <c r="T54" i="11"/>
  <c r="C71" i="11"/>
  <c r="B135" i="11"/>
  <c r="B136" i="11"/>
  <c r="T136" i="11" s="1"/>
  <c r="B137" i="11"/>
  <c r="T137" i="11" s="1"/>
  <c r="B138" i="11"/>
  <c r="T138" i="11" s="1"/>
  <c r="B139" i="11"/>
  <c r="T139" i="11" s="1"/>
  <c r="U227" i="11"/>
  <c r="T227" i="11"/>
  <c r="D59" i="11"/>
  <c r="V59" i="11" s="1"/>
  <c r="D61" i="11"/>
  <c r="V61" i="11" s="1"/>
  <c r="D63" i="11"/>
  <c r="V63" i="11" s="1"/>
  <c r="D78" i="11"/>
  <c r="D79" i="11"/>
  <c r="B88" i="11"/>
  <c r="T118" i="11"/>
  <c r="B119" i="11"/>
  <c r="B121" i="11"/>
  <c r="T121" i="11" s="1"/>
  <c r="T199" i="11"/>
  <c r="B227" i="11"/>
  <c r="D227" i="11" s="1"/>
  <c r="D21" i="11"/>
  <c r="E234" i="10"/>
  <c r="B139" i="10"/>
  <c r="C139" i="10"/>
  <c r="B122" i="10"/>
  <c r="C122" i="10"/>
  <c r="V54" i="11" l="1"/>
  <c r="T135" i="11"/>
  <c r="T147" i="11" s="1"/>
  <c r="B147" i="11"/>
  <c r="T119" i="11"/>
  <c r="B130" i="11"/>
  <c r="D54" i="11"/>
  <c r="T71" i="11"/>
  <c r="V21" i="11"/>
  <c r="C88" i="11"/>
  <c r="C135" i="11"/>
  <c r="U71" i="11"/>
  <c r="C138" i="11"/>
  <c r="U138" i="11" s="1"/>
  <c r="C137" i="11"/>
  <c r="U137" i="11" s="1"/>
  <c r="C136" i="11"/>
  <c r="U136" i="11" s="1"/>
  <c r="D77" i="11"/>
  <c r="T130" i="11"/>
  <c r="C139" i="11"/>
  <c r="U139" i="11" s="1"/>
  <c r="D71" i="11"/>
  <c r="V71" i="11"/>
  <c r="T88" i="11"/>
  <c r="D76" i="11"/>
  <c r="B87" i="10"/>
  <c r="U135" i="11" l="1"/>
  <c r="U147" i="11" s="1"/>
  <c r="C147" i="11"/>
  <c r="D88" i="11"/>
  <c r="U88" i="11"/>
  <c r="D194" i="10"/>
  <c r="T70" i="10" l="1"/>
  <c r="U70" i="10"/>
  <c r="V70" i="10"/>
  <c r="C70" i="10"/>
  <c r="K250" i="10" l="1"/>
  <c r="J250" i="10"/>
  <c r="H250" i="10"/>
  <c r="D250" i="10"/>
  <c r="B70" i="10" l="1"/>
  <c r="T20" i="10"/>
  <c r="U20" i="10"/>
  <c r="V20" i="10"/>
  <c r="T36" i="10"/>
  <c r="U36" i="10"/>
  <c r="V36" i="10"/>
  <c r="T53" i="10"/>
  <c r="U53" i="10"/>
  <c r="V53" i="10"/>
  <c r="B53" i="10"/>
  <c r="C53" i="10"/>
  <c r="D53" i="10"/>
  <c r="T192" i="10" l="1"/>
  <c r="U192" i="10"/>
  <c r="T193" i="10"/>
  <c r="U193" i="10"/>
  <c r="D193" i="10"/>
  <c r="T172" i="10"/>
  <c r="T173" i="10"/>
  <c r="T174" i="10"/>
  <c r="T156" i="10"/>
  <c r="U156" i="10"/>
  <c r="V156" i="10"/>
  <c r="T157" i="10"/>
  <c r="U157" i="10"/>
  <c r="V157" i="10"/>
  <c r="T137" i="10"/>
  <c r="U137" i="10"/>
  <c r="T138" i="10"/>
  <c r="U138" i="10"/>
  <c r="B138" i="10"/>
  <c r="C138" i="10"/>
  <c r="T121" i="10"/>
  <c r="U121" i="10"/>
  <c r="T101" i="10"/>
  <c r="U101" i="10"/>
  <c r="V101" i="10"/>
  <c r="T102" i="10"/>
  <c r="U102" i="10"/>
  <c r="V102" i="10"/>
  <c r="T103" i="10"/>
  <c r="U103" i="10"/>
  <c r="V103" i="10"/>
  <c r="B85" i="10"/>
  <c r="B86" i="10"/>
  <c r="T86" i="10" s="1"/>
  <c r="U69" i="10"/>
  <c r="C69" i="10"/>
  <c r="C121" i="10" s="1"/>
  <c r="B69" i="10"/>
  <c r="T69" i="10" s="1"/>
  <c r="T52" i="10"/>
  <c r="B52" i="10"/>
  <c r="C52" i="10"/>
  <c r="U52" i="10" s="1"/>
  <c r="T35" i="10"/>
  <c r="U35" i="10"/>
  <c r="T19" i="10"/>
  <c r="U19" i="10"/>
  <c r="B121" i="10" l="1"/>
  <c r="C86" i="10"/>
  <c r="U86" i="10" s="1"/>
  <c r="E233" i="10"/>
  <c r="K249" i="10" l="1"/>
  <c r="H249" i="10"/>
  <c r="D249" i="10"/>
  <c r="B83" i="10" l="1"/>
  <c r="B84" i="10"/>
  <c r="T84" i="10" s="1"/>
  <c r="T85" i="10"/>
  <c r="C68" i="10"/>
  <c r="C85" i="10" s="1"/>
  <c r="B137" i="10"/>
  <c r="C120" i="10"/>
  <c r="U120" i="10" s="1"/>
  <c r="B68" i="10"/>
  <c r="B120" i="10" s="1"/>
  <c r="T120" i="10" s="1"/>
  <c r="T155" i="10"/>
  <c r="U155" i="10"/>
  <c r="V155" i="10"/>
  <c r="T171" i="10"/>
  <c r="K248" i="10"/>
  <c r="H248" i="10"/>
  <c r="D248" i="10"/>
  <c r="T228" i="10"/>
  <c r="U228" i="10"/>
  <c r="V228" i="10"/>
  <c r="E232" i="10"/>
  <c r="T191" i="10"/>
  <c r="U191" i="10"/>
  <c r="D192" i="10"/>
  <c r="C137" i="10" l="1"/>
  <c r="U85" i="10"/>
  <c r="U68" i="10"/>
  <c r="T68" i="10"/>
  <c r="T34" i="10"/>
  <c r="U34" i="10"/>
  <c r="T18" i="10"/>
  <c r="U18" i="10"/>
  <c r="B51" i="10"/>
  <c r="T51" i="10" s="1"/>
  <c r="C51" i="10"/>
  <c r="U51" i="10" s="1"/>
  <c r="K247" i="10" l="1"/>
  <c r="H247" i="10"/>
  <c r="D247" i="10"/>
  <c r="E231" i="10"/>
  <c r="T154" i="10"/>
  <c r="U154" i="10"/>
  <c r="V154" i="10"/>
  <c r="T190" i="10"/>
  <c r="U190" i="10"/>
  <c r="D191" i="10"/>
  <c r="B136" i="10"/>
  <c r="T136" i="10" s="1"/>
  <c r="T100" i="10"/>
  <c r="U100" i="10"/>
  <c r="V100" i="10"/>
  <c r="T83" i="10"/>
  <c r="C67" i="10"/>
  <c r="C119" i="10" s="1"/>
  <c r="U119" i="10" s="1"/>
  <c r="B67" i="10"/>
  <c r="B119" i="10" s="1"/>
  <c r="T119" i="10" s="1"/>
  <c r="B50" i="10"/>
  <c r="T50" i="10" s="1"/>
  <c r="C50" i="10"/>
  <c r="U50" i="10" s="1"/>
  <c r="T33" i="10"/>
  <c r="U33" i="10"/>
  <c r="T17" i="10"/>
  <c r="U17" i="10"/>
  <c r="C84" i="10" l="1"/>
  <c r="U67" i="10"/>
  <c r="T67" i="10"/>
  <c r="J246" i="10"/>
  <c r="K246" i="10" s="1"/>
  <c r="H246" i="10"/>
  <c r="D246" i="10"/>
  <c r="E230" i="10"/>
  <c r="D190" i="10"/>
  <c r="T153" i="10"/>
  <c r="U153" i="10"/>
  <c r="V153" i="10"/>
  <c r="T170" i="10"/>
  <c r="B135" i="10"/>
  <c r="T135" i="10" s="1"/>
  <c r="T99" i="10"/>
  <c r="U99" i="10"/>
  <c r="V99" i="10"/>
  <c r="C66" i="10"/>
  <c r="C118" i="10" s="1"/>
  <c r="U118" i="10" s="1"/>
  <c r="B66" i="10"/>
  <c r="T66" i="10" s="1"/>
  <c r="T32" i="10"/>
  <c r="U32" i="10"/>
  <c r="T16" i="10"/>
  <c r="U16" i="10"/>
  <c r="B49" i="10"/>
  <c r="T49" i="10" s="1"/>
  <c r="C49" i="10"/>
  <c r="U49" i="10" s="1"/>
  <c r="B118" i="10" l="1"/>
  <c r="T118" i="10" s="1"/>
  <c r="U84" i="10"/>
  <c r="C136" i="10"/>
  <c r="U136" i="10" s="1"/>
  <c r="C83" i="10"/>
  <c r="U66" i="10"/>
  <c r="B65" i="10"/>
  <c r="U83" i="10" l="1"/>
  <c r="C135" i="10"/>
  <c r="U135" i="10" s="1"/>
  <c r="J245" i="10"/>
  <c r="K245" i="10" s="1"/>
  <c r="H245" i="10"/>
  <c r="D245" i="10"/>
  <c r="E229" i="10"/>
  <c r="D209" i="10"/>
  <c r="C209" i="10"/>
  <c r="T169" i="10"/>
  <c r="C189" i="10"/>
  <c r="U189" i="10" s="1"/>
  <c r="B189" i="10"/>
  <c r="B117" i="10"/>
  <c r="T117" i="10" s="1"/>
  <c r="B82" i="10"/>
  <c r="T82" i="10" s="1"/>
  <c r="T65" i="10"/>
  <c r="C65" i="10"/>
  <c r="C117" i="10" s="1"/>
  <c r="U117" i="10" s="1"/>
  <c r="B48" i="10"/>
  <c r="T48" i="10" s="1"/>
  <c r="C48" i="10"/>
  <c r="U48" i="10" s="1"/>
  <c r="T31" i="10"/>
  <c r="U31" i="10"/>
  <c r="T15" i="10"/>
  <c r="U15" i="10"/>
  <c r="D189" i="10" l="1"/>
  <c r="T189" i="10"/>
  <c r="C82" i="10"/>
  <c r="U65" i="10"/>
  <c r="B134" i="10"/>
  <c r="T134" i="10" s="1"/>
  <c r="T14" i="10"/>
  <c r="U14" i="10"/>
  <c r="T30" i="10"/>
  <c r="U30" i="10"/>
  <c r="T98" i="10"/>
  <c r="U98" i="10"/>
  <c r="V98" i="10"/>
  <c r="T152" i="10"/>
  <c r="U152" i="10"/>
  <c r="V152" i="10"/>
  <c r="T168" i="10"/>
  <c r="T187" i="10"/>
  <c r="U187" i="10"/>
  <c r="T227" i="10"/>
  <c r="U227" i="10"/>
  <c r="V227" i="10"/>
  <c r="K244" i="10"/>
  <c r="H244" i="10"/>
  <c r="D244" i="10"/>
  <c r="E228" i="10"/>
  <c r="C188" i="10"/>
  <c r="U188" i="10" s="1"/>
  <c r="B188" i="10"/>
  <c r="T188" i="10" s="1"/>
  <c r="B81" i="10"/>
  <c r="T81" i="10" s="1"/>
  <c r="B64" i="10"/>
  <c r="T64" i="10" s="1"/>
  <c r="C64" i="10"/>
  <c r="U64" i="10" s="1"/>
  <c r="B47" i="10"/>
  <c r="T47" i="10" s="1"/>
  <c r="C47" i="10"/>
  <c r="U47" i="10" s="1"/>
  <c r="B133" i="10" l="1"/>
  <c r="T133" i="10" s="1"/>
  <c r="C81" i="10"/>
  <c r="C133" i="10" s="1"/>
  <c r="U133" i="10" s="1"/>
  <c r="B116" i="10"/>
  <c r="T116" i="10" s="1"/>
  <c r="D188" i="10"/>
  <c r="C116" i="10"/>
  <c r="U116" i="10" s="1"/>
  <c r="U82" i="10"/>
  <c r="C134" i="10"/>
  <c r="U134" i="10" s="1"/>
  <c r="J243" i="10"/>
  <c r="K243" i="10" s="1"/>
  <c r="H243" i="10"/>
  <c r="D243" i="10"/>
  <c r="E227" i="10"/>
  <c r="D187" i="10"/>
  <c r="U81" i="10" l="1"/>
  <c r="B167" i="10"/>
  <c r="T151" i="10"/>
  <c r="U151" i="10"/>
  <c r="V151" i="10"/>
  <c r="B80" i="10"/>
  <c r="B132" i="10" s="1"/>
  <c r="T132" i="10" s="1"/>
  <c r="T97" i="10"/>
  <c r="U97" i="10"/>
  <c r="V97" i="10"/>
  <c r="T80" i="10"/>
  <c r="B63" i="10"/>
  <c r="T63" i="10" s="1"/>
  <c r="C63" i="10"/>
  <c r="U63" i="10" s="1"/>
  <c r="B46" i="10"/>
  <c r="T46" i="10" s="1"/>
  <c r="C46" i="10"/>
  <c r="U46" i="10" s="1"/>
  <c r="T29" i="10"/>
  <c r="U29" i="10"/>
  <c r="T13" i="10"/>
  <c r="U13" i="10"/>
  <c r="C80" i="10" l="1"/>
  <c r="U80" i="10" s="1"/>
  <c r="C115" i="10"/>
  <c r="U115" i="10" s="1"/>
  <c r="C132" i="10"/>
  <c r="U132" i="10" s="1"/>
  <c r="B115" i="10"/>
  <c r="T115" i="10" s="1"/>
  <c r="K242" i="10"/>
  <c r="H242" i="10"/>
  <c r="D242" i="10"/>
  <c r="T226" i="10"/>
  <c r="U226" i="10"/>
  <c r="V226" i="10"/>
  <c r="E226" i="10"/>
  <c r="D206" i="10"/>
  <c r="C206" i="10"/>
  <c r="T186" i="10"/>
  <c r="U186" i="10"/>
  <c r="D186" i="10"/>
  <c r="T167" i="10"/>
  <c r="T150" i="10"/>
  <c r="U150" i="10"/>
  <c r="V150" i="10"/>
  <c r="T96" i="10"/>
  <c r="U96" i="10"/>
  <c r="V96" i="10"/>
  <c r="T79" i="10" l="1"/>
  <c r="B79" i="10"/>
  <c r="B131" i="10" s="1"/>
  <c r="T131" i="10" s="1"/>
  <c r="C62" i="10"/>
  <c r="C114" i="10" s="1"/>
  <c r="U114" i="10" s="1"/>
  <c r="B62" i="10"/>
  <c r="B114" i="10" s="1"/>
  <c r="T114" i="10" s="1"/>
  <c r="T28" i="10"/>
  <c r="U28" i="10"/>
  <c r="T12" i="10"/>
  <c r="U12" i="10"/>
  <c r="B45" i="10"/>
  <c r="T45" i="10" s="1"/>
  <c r="C45" i="10"/>
  <c r="U45" i="10" s="1"/>
  <c r="T62" i="10" l="1"/>
  <c r="C79" i="10"/>
  <c r="U62" i="10"/>
  <c r="C131" i="10" l="1"/>
  <c r="U131" i="10" s="1"/>
  <c r="U79" i="10"/>
  <c r="K241" i="10"/>
  <c r="H241" i="10"/>
  <c r="D241" i="10"/>
  <c r="T225" i="10"/>
  <c r="U225" i="10"/>
  <c r="V225" i="10"/>
  <c r="E225" i="10"/>
  <c r="T185" i="10"/>
  <c r="U185" i="10"/>
  <c r="D185" i="10"/>
  <c r="T166" i="10"/>
  <c r="T149" i="10"/>
  <c r="U149" i="10"/>
  <c r="V149" i="10"/>
  <c r="T95" i="10"/>
  <c r="U95" i="10"/>
  <c r="V95" i="10"/>
  <c r="B61" i="10"/>
  <c r="B113" i="10" s="1"/>
  <c r="T113" i="10" s="1"/>
  <c r="B78" i="10"/>
  <c r="B130" i="10" s="1"/>
  <c r="T130" i="10" s="1"/>
  <c r="B77" i="10"/>
  <c r="C61" i="10"/>
  <c r="C78" i="10" s="1"/>
  <c r="U78" i="10" s="1"/>
  <c r="B60" i="10"/>
  <c r="U44" i="10"/>
  <c r="C44" i="10"/>
  <c r="B44" i="10"/>
  <c r="T44" i="10" s="1"/>
  <c r="T27" i="10"/>
  <c r="U27" i="10"/>
  <c r="U11" i="10"/>
  <c r="T11" i="10"/>
  <c r="C130" i="10" l="1"/>
  <c r="U130" i="10" s="1"/>
  <c r="U61" i="10"/>
  <c r="C113" i="10"/>
  <c r="U113" i="10" s="1"/>
  <c r="T61" i="10"/>
  <c r="T78" i="10"/>
  <c r="B204" i="10"/>
  <c r="K240" i="10"/>
  <c r="H240" i="10"/>
  <c r="D240" i="10"/>
  <c r="C184" i="10"/>
  <c r="B184" i="10"/>
  <c r="D184" i="10" s="1"/>
  <c r="B129" i="10" l="1"/>
  <c r="T129" i="10" s="1"/>
  <c r="B112" i="10"/>
  <c r="T112" i="10" s="1"/>
  <c r="T77" i="10"/>
  <c r="C60" i="10"/>
  <c r="U60" i="10" s="1"/>
  <c r="T60" i="10"/>
  <c r="B43" i="10"/>
  <c r="T43" i="10" s="1"/>
  <c r="C43" i="10"/>
  <c r="U43" i="10" s="1"/>
  <c r="T224" i="10"/>
  <c r="U224" i="10"/>
  <c r="V224" i="10"/>
  <c r="T184" i="10"/>
  <c r="U184" i="10"/>
  <c r="T165" i="10"/>
  <c r="T148" i="10"/>
  <c r="U148" i="10"/>
  <c r="V148" i="10"/>
  <c r="T94" i="10"/>
  <c r="U94" i="10"/>
  <c r="V94" i="10"/>
  <c r="T26" i="10"/>
  <c r="U26" i="10"/>
  <c r="T10" i="10"/>
  <c r="U10" i="10"/>
  <c r="C112" i="10" l="1"/>
  <c r="U112" i="10" s="1"/>
  <c r="C77" i="10"/>
  <c r="C183" i="10"/>
  <c r="U183" i="10" s="1"/>
  <c r="U195" i="10" s="1"/>
  <c r="B183" i="10"/>
  <c r="B164" i="10"/>
  <c r="T164" i="10" s="1"/>
  <c r="C59" i="10"/>
  <c r="U59" i="10" s="1"/>
  <c r="B76" i="10"/>
  <c r="T76" i="10" s="1"/>
  <c r="B59" i="10"/>
  <c r="B71" i="10" s="1"/>
  <c r="K239" i="10"/>
  <c r="H239" i="10"/>
  <c r="D239" i="10"/>
  <c r="U43" i="9"/>
  <c r="V43" i="9"/>
  <c r="U44" i="9"/>
  <c r="V44" i="9"/>
  <c r="U45" i="9"/>
  <c r="V45" i="9"/>
  <c r="U46" i="9"/>
  <c r="V46" i="9"/>
  <c r="U47" i="9"/>
  <c r="V47" i="9"/>
  <c r="U48" i="9"/>
  <c r="V48" i="9"/>
  <c r="U49" i="9"/>
  <c r="V49" i="9"/>
  <c r="U50" i="9"/>
  <c r="V50" i="9"/>
  <c r="U51" i="9"/>
  <c r="V51" i="9"/>
  <c r="U52" i="9"/>
  <c r="V52" i="9"/>
  <c r="U53" i="9"/>
  <c r="V53" i="9"/>
  <c r="V42" i="9"/>
  <c r="U223" i="10"/>
  <c r="V223" i="10"/>
  <c r="T223" i="10"/>
  <c r="T183" i="10"/>
  <c r="T147" i="10"/>
  <c r="V147" i="10"/>
  <c r="V159" i="10" s="1"/>
  <c r="U147" i="10"/>
  <c r="U159" i="10" s="1"/>
  <c r="U93" i="10"/>
  <c r="V93" i="10"/>
  <c r="V105" i="10" s="1"/>
  <c r="T93" i="10"/>
  <c r="T105" i="10" s="1"/>
  <c r="U25" i="10"/>
  <c r="T25" i="10"/>
  <c r="U9" i="10"/>
  <c r="U21" i="10" s="1"/>
  <c r="T9" i="10"/>
  <c r="T21" i="10" s="1"/>
  <c r="E224" i="10"/>
  <c r="E223" i="10"/>
  <c r="D215" i="10"/>
  <c r="C215" i="10"/>
  <c r="C195" i="10"/>
  <c r="B195" i="10"/>
  <c r="B176" i="10"/>
  <c r="D159" i="10"/>
  <c r="C159" i="10"/>
  <c r="B159" i="10"/>
  <c r="D105" i="10"/>
  <c r="C105" i="10"/>
  <c r="B105" i="10"/>
  <c r="B88" i="10"/>
  <c r="D70" i="10"/>
  <c r="D68" i="10"/>
  <c r="V68" i="10" s="1"/>
  <c r="D66" i="10"/>
  <c r="V66" i="10" s="1"/>
  <c r="D64" i="10"/>
  <c r="V64" i="10" s="1"/>
  <c r="D62" i="10"/>
  <c r="V62" i="10" s="1"/>
  <c r="C42" i="10"/>
  <c r="U42" i="10" s="1"/>
  <c r="B42" i="10"/>
  <c r="T42" i="10" s="1"/>
  <c r="C37" i="10"/>
  <c r="B37" i="10"/>
  <c r="D36" i="10"/>
  <c r="D35" i="10"/>
  <c r="V35" i="10" s="1"/>
  <c r="D34" i="10"/>
  <c r="V34" i="10" s="1"/>
  <c r="D33" i="10"/>
  <c r="V33" i="10" s="1"/>
  <c r="D32" i="10"/>
  <c r="V32" i="10" s="1"/>
  <c r="D31" i="10"/>
  <c r="V31" i="10" s="1"/>
  <c r="D30" i="10"/>
  <c r="V30" i="10" s="1"/>
  <c r="D29" i="10"/>
  <c r="V29" i="10" s="1"/>
  <c r="D28" i="10"/>
  <c r="V28" i="10" s="1"/>
  <c r="D27" i="10"/>
  <c r="V27" i="10" s="1"/>
  <c r="D26" i="10"/>
  <c r="V26" i="10" s="1"/>
  <c r="U37" i="10"/>
  <c r="D25" i="10"/>
  <c r="C21" i="10"/>
  <c r="B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B70" i="9"/>
  <c r="B122" i="9" s="1"/>
  <c r="T20" i="9"/>
  <c r="U20" i="9"/>
  <c r="T36" i="9"/>
  <c r="U36" i="9"/>
  <c r="T104" i="9"/>
  <c r="U104" i="9"/>
  <c r="V104" i="9"/>
  <c r="T158" i="9"/>
  <c r="U158" i="9"/>
  <c r="V158" i="9"/>
  <c r="T175" i="9"/>
  <c r="D194" i="9"/>
  <c r="C194" i="9"/>
  <c r="B194" i="9"/>
  <c r="B87" i="9"/>
  <c r="D70" i="9"/>
  <c r="C70" i="9"/>
  <c r="B53" i="9"/>
  <c r="C53" i="9"/>
  <c r="D36" i="9"/>
  <c r="D20" i="9"/>
  <c r="T234" i="9"/>
  <c r="U234" i="9"/>
  <c r="V234" i="9"/>
  <c r="E234" i="9"/>
  <c r="K250" i="9"/>
  <c r="H250" i="9"/>
  <c r="D250" i="9"/>
  <c r="K249" i="9"/>
  <c r="H249" i="9"/>
  <c r="D249" i="9"/>
  <c r="E233" i="9"/>
  <c r="D213" i="9"/>
  <c r="C213" i="9"/>
  <c r="C193" i="9"/>
  <c r="B193" i="9"/>
  <c r="D193" i="9" s="1"/>
  <c r="B138" i="9"/>
  <c r="D86" i="9"/>
  <c r="C86" i="9"/>
  <c r="C138" i="9" s="1"/>
  <c r="C69" i="9"/>
  <c r="T233" i="9"/>
  <c r="U233" i="9"/>
  <c r="V233" i="9"/>
  <c r="T174" i="9"/>
  <c r="T157" i="9"/>
  <c r="U157" i="9"/>
  <c r="V157" i="9"/>
  <c r="T103" i="9"/>
  <c r="U103" i="9"/>
  <c r="V103" i="9"/>
  <c r="T35" i="9"/>
  <c r="U35" i="9"/>
  <c r="T19" i="9"/>
  <c r="U19" i="9"/>
  <c r="B69" i="9"/>
  <c r="B121" i="9" s="1"/>
  <c r="B86" i="9"/>
  <c r="B52" i="9"/>
  <c r="C52" i="9"/>
  <c r="D52" i="9"/>
  <c r="D35" i="9"/>
  <c r="D19" i="9"/>
  <c r="T148" i="9"/>
  <c r="T149" i="9"/>
  <c r="T150" i="9"/>
  <c r="T151" i="9"/>
  <c r="T152" i="9"/>
  <c r="T153" i="9"/>
  <c r="T154" i="9"/>
  <c r="T155" i="9"/>
  <c r="T156" i="9"/>
  <c r="T18" i="9"/>
  <c r="U18" i="9"/>
  <c r="T34" i="9"/>
  <c r="U34" i="9"/>
  <c r="T102" i="9"/>
  <c r="U102" i="9"/>
  <c r="V102" i="9"/>
  <c r="U156" i="9"/>
  <c r="V156" i="9"/>
  <c r="T173" i="9"/>
  <c r="K248" i="9"/>
  <c r="H248" i="9"/>
  <c r="D248" i="9"/>
  <c r="T232" i="9"/>
  <c r="U232" i="9"/>
  <c r="V232" i="9"/>
  <c r="E232" i="9"/>
  <c r="D192" i="9"/>
  <c r="C192" i="9"/>
  <c r="B192" i="9"/>
  <c r="D85" i="9"/>
  <c r="C85" i="9"/>
  <c r="C68" i="9"/>
  <c r="C120" i="9" s="1"/>
  <c r="B137" i="1"/>
  <c r="B139" i="1"/>
  <c r="B143" i="1"/>
  <c r="B137" i="9"/>
  <c r="C137" i="9"/>
  <c r="B85" i="9"/>
  <c r="B68" i="9"/>
  <c r="B51" i="9"/>
  <c r="C51" i="9"/>
  <c r="D34" i="9"/>
  <c r="D18" i="9"/>
  <c r="T17" i="9"/>
  <c r="U17" i="9"/>
  <c r="T33" i="9"/>
  <c r="U33" i="9"/>
  <c r="T101" i="9"/>
  <c r="U101" i="9"/>
  <c r="V101" i="9"/>
  <c r="U155" i="9"/>
  <c r="V155" i="9"/>
  <c r="T172" i="9"/>
  <c r="D191" i="9"/>
  <c r="C191" i="9"/>
  <c r="B191" i="9"/>
  <c r="V18" i="10" l="1"/>
  <c r="D51" i="10"/>
  <c r="V51" i="10" s="1"/>
  <c r="V19" i="10"/>
  <c r="D52" i="10"/>
  <c r="V52" i="10" s="1"/>
  <c r="V17" i="10"/>
  <c r="D50" i="10"/>
  <c r="V50" i="10" s="1"/>
  <c r="V10" i="10"/>
  <c r="D43" i="10"/>
  <c r="V43" i="10" s="1"/>
  <c r="V11" i="10"/>
  <c r="D44" i="10"/>
  <c r="V44" i="10" s="1"/>
  <c r="D48" i="10"/>
  <c r="V48" i="10" s="1"/>
  <c r="V15" i="10"/>
  <c r="V12" i="10"/>
  <c r="D45" i="10"/>
  <c r="V45" i="10" s="1"/>
  <c r="D49" i="10"/>
  <c r="V49" i="10" s="1"/>
  <c r="V16" i="10"/>
  <c r="V13" i="10"/>
  <c r="D46" i="10"/>
  <c r="V46" i="10" s="1"/>
  <c r="C76" i="10"/>
  <c r="U77" i="10"/>
  <c r="C129" i="10"/>
  <c r="U129" i="10" s="1"/>
  <c r="V14" i="10"/>
  <c r="D47" i="10"/>
  <c r="V47" i="10" s="1"/>
  <c r="C54" i="10"/>
  <c r="D37" i="10"/>
  <c r="T59" i="10"/>
  <c r="T71" i="10" s="1"/>
  <c r="D42" i="10"/>
  <c r="V42" i="10" s="1"/>
  <c r="V25" i="10"/>
  <c r="V37" i="10" s="1"/>
  <c r="U105" i="10"/>
  <c r="B54" i="10"/>
  <c r="T37" i="10"/>
  <c r="D195" i="10"/>
  <c r="V9" i="10"/>
  <c r="T176" i="10"/>
  <c r="T159" i="10"/>
  <c r="T54" i="10"/>
  <c r="U54" i="10"/>
  <c r="D84" i="10"/>
  <c r="C71" i="10"/>
  <c r="C123" i="10" s="1"/>
  <c r="D77" i="10"/>
  <c r="D81" i="10"/>
  <c r="D85" i="10"/>
  <c r="B111" i="10"/>
  <c r="T111" i="10" s="1"/>
  <c r="B128" i="10"/>
  <c r="T128" i="10" s="1"/>
  <c r="D59" i="10"/>
  <c r="V59" i="10" s="1"/>
  <c r="U71" i="10"/>
  <c r="D61" i="10"/>
  <c r="V61" i="10" s="1"/>
  <c r="D63" i="10"/>
  <c r="V63" i="10" s="1"/>
  <c r="D65" i="10"/>
  <c r="V65" i="10" s="1"/>
  <c r="D67" i="10"/>
  <c r="V67" i="10" s="1"/>
  <c r="D69" i="10"/>
  <c r="V69" i="10" s="1"/>
  <c r="D78" i="10"/>
  <c r="D82" i="10"/>
  <c r="D86" i="10"/>
  <c r="C111" i="10"/>
  <c r="U111" i="10" s="1"/>
  <c r="D183" i="10"/>
  <c r="U76" i="10"/>
  <c r="D83" i="10"/>
  <c r="D87" i="10"/>
  <c r="T195" i="10"/>
  <c r="D21" i="10"/>
  <c r="D60" i="10"/>
  <c r="V60" i="10" s="1"/>
  <c r="D69" i="9"/>
  <c r="D53" i="9"/>
  <c r="C87" i="9"/>
  <c r="C122" i="9"/>
  <c r="D51" i="9"/>
  <c r="C121" i="9"/>
  <c r="D87" i="9"/>
  <c r="B139" i="9"/>
  <c r="B120" i="9"/>
  <c r="D68" i="9"/>
  <c r="C119" i="9"/>
  <c r="C84" i="9"/>
  <c r="C136" i="9" s="1"/>
  <c r="C67" i="9"/>
  <c r="B67" i="9"/>
  <c r="B119" i="9" s="1"/>
  <c r="B84" i="9"/>
  <c r="B50" i="9"/>
  <c r="C50" i="9"/>
  <c r="D33" i="9"/>
  <c r="D17" i="9"/>
  <c r="D50" i="9" s="1"/>
  <c r="T231" i="9"/>
  <c r="U231" i="9"/>
  <c r="V231" i="9"/>
  <c r="E231" i="9"/>
  <c r="K247" i="9"/>
  <c r="H247" i="9"/>
  <c r="D247" i="9"/>
  <c r="K246" i="9"/>
  <c r="H246" i="9"/>
  <c r="D246" i="9"/>
  <c r="C190" i="9"/>
  <c r="B190" i="9"/>
  <c r="D190" i="9" s="1"/>
  <c r="B66" i="9"/>
  <c r="B118" i="9" s="1"/>
  <c r="B83" i="9"/>
  <c r="B135" i="9" s="1"/>
  <c r="C66" i="9"/>
  <c r="C83" i="9" s="1"/>
  <c r="B49" i="9"/>
  <c r="C49" i="9"/>
  <c r="D32" i="9"/>
  <c r="D16" i="9"/>
  <c r="T230" i="9"/>
  <c r="U230" i="9"/>
  <c r="V230" i="9"/>
  <c r="T171" i="9"/>
  <c r="U154" i="9"/>
  <c r="V154" i="9"/>
  <c r="T100" i="9"/>
  <c r="U100" i="9"/>
  <c r="V100" i="9"/>
  <c r="T32" i="9"/>
  <c r="U32" i="9"/>
  <c r="T16" i="9"/>
  <c r="U16" i="9"/>
  <c r="C189" i="9"/>
  <c r="B189" i="9"/>
  <c r="D189" i="9" s="1"/>
  <c r="B134" i="9"/>
  <c r="C82" i="9"/>
  <c r="C134" i="9" s="1"/>
  <c r="C65" i="9"/>
  <c r="B82" i="9"/>
  <c r="D82" i="9" s="1"/>
  <c r="B65" i="9"/>
  <c r="B117" i="9" s="1"/>
  <c r="B48" i="9"/>
  <c r="C48" i="9"/>
  <c r="D31" i="9"/>
  <c r="D15" i="9"/>
  <c r="T170" i="9"/>
  <c r="U153" i="9"/>
  <c r="V153" i="9"/>
  <c r="T99" i="9"/>
  <c r="U99" i="9"/>
  <c r="V99" i="9"/>
  <c r="T31" i="9"/>
  <c r="U31" i="9"/>
  <c r="T15" i="9"/>
  <c r="U15" i="9"/>
  <c r="T229" i="9"/>
  <c r="U229" i="9"/>
  <c r="V229" i="9"/>
  <c r="K245" i="9"/>
  <c r="H245" i="9"/>
  <c r="D245" i="9"/>
  <c r="T14" i="9"/>
  <c r="U14" i="9"/>
  <c r="T30" i="9"/>
  <c r="U30" i="9"/>
  <c r="T98" i="9"/>
  <c r="U98" i="9"/>
  <c r="V98" i="9"/>
  <c r="U152" i="9"/>
  <c r="V152" i="9"/>
  <c r="T169" i="9"/>
  <c r="T228" i="9"/>
  <c r="U228" i="9"/>
  <c r="V228" i="9"/>
  <c r="K244" i="9"/>
  <c r="H244" i="9"/>
  <c r="D244" i="9"/>
  <c r="D188" i="9"/>
  <c r="C188" i="9"/>
  <c r="B188" i="9"/>
  <c r="T188" i="9" s="1"/>
  <c r="C64" i="9"/>
  <c r="C81" i="9" s="1"/>
  <c r="B64" i="9"/>
  <c r="B81" i="9"/>
  <c r="T81" i="9" s="1"/>
  <c r="B47" i="9"/>
  <c r="C47" i="9"/>
  <c r="D30" i="9"/>
  <c r="V30" i="9" s="1"/>
  <c r="D14" i="9"/>
  <c r="V14" i="9" s="1"/>
  <c r="T13" i="9"/>
  <c r="U13" i="9"/>
  <c r="T29" i="9"/>
  <c r="U29" i="9"/>
  <c r="T97" i="9"/>
  <c r="U97" i="9"/>
  <c r="V97" i="9"/>
  <c r="U151" i="9"/>
  <c r="V151" i="9"/>
  <c r="T168" i="9"/>
  <c r="T227" i="9"/>
  <c r="U227" i="9"/>
  <c r="V227" i="9"/>
  <c r="K243" i="9"/>
  <c r="H243" i="9"/>
  <c r="D243" i="9"/>
  <c r="D187" i="9"/>
  <c r="C187" i="9"/>
  <c r="B187" i="9"/>
  <c r="T187" i="9" s="1"/>
  <c r="B80" i="9"/>
  <c r="B132" i="9" s="1"/>
  <c r="B63" i="9"/>
  <c r="C63" i="9"/>
  <c r="B46" i="9"/>
  <c r="C46" i="9"/>
  <c r="D29" i="9"/>
  <c r="V29" i="9" s="1"/>
  <c r="D13" i="9"/>
  <c r="D242" i="9"/>
  <c r="H242" i="9"/>
  <c r="K242" i="9"/>
  <c r="C186" i="9"/>
  <c r="B186" i="9"/>
  <c r="D186" i="9" s="1"/>
  <c r="T226" i="9"/>
  <c r="U226" i="9"/>
  <c r="V226" i="9"/>
  <c r="T167" i="9"/>
  <c r="U150" i="9"/>
  <c r="V150" i="9"/>
  <c r="T96" i="9"/>
  <c r="U96" i="9"/>
  <c r="V96" i="9"/>
  <c r="C62" i="9"/>
  <c r="B62" i="9"/>
  <c r="B79" i="9"/>
  <c r="B131" i="9" s="1"/>
  <c r="T12" i="9"/>
  <c r="U12" i="9"/>
  <c r="T28" i="9"/>
  <c r="U28" i="9"/>
  <c r="B45" i="9"/>
  <c r="C45" i="9"/>
  <c r="D28" i="9"/>
  <c r="D12" i="9"/>
  <c r="D45" i="9" s="1"/>
  <c r="K241" i="9"/>
  <c r="H241" i="9"/>
  <c r="D241" i="9"/>
  <c r="C185" i="9"/>
  <c r="B185" i="9"/>
  <c r="D185" i="9" s="1"/>
  <c r="T225" i="9"/>
  <c r="U225" i="9"/>
  <c r="V225" i="9"/>
  <c r="T166" i="9"/>
  <c r="U149" i="9"/>
  <c r="V149" i="9"/>
  <c r="T95" i="9"/>
  <c r="U95" i="9"/>
  <c r="V95" i="9"/>
  <c r="T27" i="9"/>
  <c r="U27" i="9"/>
  <c r="T11" i="9"/>
  <c r="U11" i="9"/>
  <c r="C113" i="9"/>
  <c r="C61" i="9"/>
  <c r="B61" i="9"/>
  <c r="B113" i="9" s="1"/>
  <c r="B78" i="9"/>
  <c r="B130" i="9" s="1"/>
  <c r="B44" i="9"/>
  <c r="C44" i="9"/>
  <c r="D27" i="9"/>
  <c r="D11" i="9"/>
  <c r="D44" i="9" s="1"/>
  <c r="C60" i="9"/>
  <c r="T94" i="9"/>
  <c r="U94" i="9"/>
  <c r="V94" i="9"/>
  <c r="U148" i="9"/>
  <c r="V148" i="9"/>
  <c r="T165" i="9"/>
  <c r="T224" i="9"/>
  <c r="U224" i="9"/>
  <c r="V224" i="9"/>
  <c r="K240" i="9"/>
  <c r="H240" i="9"/>
  <c r="D240" i="9"/>
  <c r="C184" i="9"/>
  <c r="B184" i="9"/>
  <c r="B77" i="9"/>
  <c r="B129" i="9" s="1"/>
  <c r="B60" i="9"/>
  <c r="D60" i="9" s="1"/>
  <c r="B43" i="9"/>
  <c r="C43" i="9"/>
  <c r="T26" i="9"/>
  <c r="U26" i="9"/>
  <c r="T10" i="9"/>
  <c r="U10" i="9"/>
  <c r="D26" i="9"/>
  <c r="D10" i="9"/>
  <c r="U223" i="9"/>
  <c r="V223" i="9"/>
  <c r="T223" i="9"/>
  <c r="B183" i="9"/>
  <c r="C183" i="9"/>
  <c r="T164" i="9"/>
  <c r="U147" i="9"/>
  <c r="V147" i="9"/>
  <c r="T159" i="9"/>
  <c r="U93" i="9"/>
  <c r="V93" i="9"/>
  <c r="T93" i="9"/>
  <c r="C59" i="9"/>
  <c r="D59" i="9" s="1"/>
  <c r="B59" i="9"/>
  <c r="B111" i="9" s="1"/>
  <c r="B76" i="9"/>
  <c r="U25" i="9"/>
  <c r="T25" i="9"/>
  <c r="U9" i="9"/>
  <c r="T9" i="9"/>
  <c r="D25" i="9"/>
  <c r="D37" i="9" s="1"/>
  <c r="D9" i="9"/>
  <c r="K239" i="9"/>
  <c r="H239" i="9"/>
  <c r="D239" i="9"/>
  <c r="E230" i="9"/>
  <c r="E229" i="9"/>
  <c r="E228" i="9"/>
  <c r="E227" i="9"/>
  <c r="E226" i="9"/>
  <c r="E225" i="9"/>
  <c r="E224" i="9"/>
  <c r="E223" i="9"/>
  <c r="D215" i="9"/>
  <c r="C215" i="9"/>
  <c r="B176" i="9"/>
  <c r="D159" i="9"/>
  <c r="C159" i="9"/>
  <c r="B159" i="9"/>
  <c r="D105" i="9"/>
  <c r="C105" i="9"/>
  <c r="B105" i="9"/>
  <c r="C42" i="9"/>
  <c r="B42" i="9"/>
  <c r="C37" i="9"/>
  <c r="B37" i="9"/>
  <c r="C21" i="9"/>
  <c r="B21" i="9"/>
  <c r="C194" i="7"/>
  <c r="U194" i="9" s="1"/>
  <c r="B194" i="7"/>
  <c r="T194" i="9" s="1"/>
  <c r="C87" i="7"/>
  <c r="C70" i="7"/>
  <c r="U70" i="9" s="1"/>
  <c r="B70" i="7"/>
  <c r="T70" i="9" s="1"/>
  <c r="B87" i="7"/>
  <c r="B139" i="7" s="1"/>
  <c r="C139" i="7"/>
  <c r="B53" i="7"/>
  <c r="T53" i="9" s="1"/>
  <c r="C53" i="7"/>
  <c r="D36" i="7"/>
  <c r="V36" i="9" s="1"/>
  <c r="D20" i="7"/>
  <c r="V20" i="9" s="1"/>
  <c r="T175" i="7"/>
  <c r="T158" i="7"/>
  <c r="U158" i="7"/>
  <c r="V158" i="7"/>
  <c r="T104" i="7"/>
  <c r="U104" i="7"/>
  <c r="V104" i="7"/>
  <c r="T36" i="7"/>
  <c r="U36" i="7"/>
  <c r="T20" i="7"/>
  <c r="U20" i="7"/>
  <c r="K243" i="7"/>
  <c r="H243" i="7"/>
  <c r="D243" i="7"/>
  <c r="T234" i="7"/>
  <c r="U234" i="7"/>
  <c r="V234" i="7"/>
  <c r="E234" i="7"/>
  <c r="K242" i="7"/>
  <c r="H242" i="7"/>
  <c r="D242" i="7"/>
  <c r="E233" i="7"/>
  <c r="B193" i="7"/>
  <c r="T193" i="9" s="1"/>
  <c r="C193" i="7"/>
  <c r="C69" i="7"/>
  <c r="D69" i="7" s="1"/>
  <c r="B69" i="7"/>
  <c r="T69" i="9" s="1"/>
  <c r="B86" i="7"/>
  <c r="B138" i="7" s="1"/>
  <c r="T138" i="9" s="1"/>
  <c r="B52" i="7"/>
  <c r="T52" i="9" s="1"/>
  <c r="C52" i="7"/>
  <c r="D52" i="7"/>
  <c r="D35" i="7"/>
  <c r="V35" i="9" s="1"/>
  <c r="D19" i="7"/>
  <c r="V19" i="9" s="1"/>
  <c r="T233" i="7"/>
  <c r="U233" i="7"/>
  <c r="V233" i="7"/>
  <c r="T174" i="7"/>
  <c r="T157" i="7"/>
  <c r="U157" i="7"/>
  <c r="V157" i="7"/>
  <c r="T103" i="7"/>
  <c r="U103" i="7"/>
  <c r="V103" i="7"/>
  <c r="T35" i="7"/>
  <c r="U35" i="7"/>
  <c r="T19" i="7"/>
  <c r="U19" i="7"/>
  <c r="C68" i="7"/>
  <c r="C85" i="7" s="1"/>
  <c r="C192" i="7"/>
  <c r="U192" i="9" s="1"/>
  <c r="B192" i="7"/>
  <c r="T192" i="9" s="1"/>
  <c r="T232" i="7"/>
  <c r="U232" i="7"/>
  <c r="V232" i="7"/>
  <c r="T173" i="7"/>
  <c r="T156" i="7"/>
  <c r="U156" i="7"/>
  <c r="V156" i="7"/>
  <c r="T102" i="7"/>
  <c r="U102" i="7"/>
  <c r="V102" i="7"/>
  <c r="B85" i="7"/>
  <c r="B68" i="7"/>
  <c r="T68" i="9" s="1"/>
  <c r="B51" i="7"/>
  <c r="T51" i="9" s="1"/>
  <c r="C51" i="7"/>
  <c r="T34" i="7"/>
  <c r="U34" i="7"/>
  <c r="T18" i="7"/>
  <c r="U18" i="7"/>
  <c r="D34" i="7"/>
  <c r="V34" i="9" s="1"/>
  <c r="D18" i="7"/>
  <c r="E232" i="7"/>
  <c r="K241" i="7"/>
  <c r="H241" i="7"/>
  <c r="D241" i="7"/>
  <c r="K240" i="7"/>
  <c r="D240" i="7"/>
  <c r="H240" i="7"/>
  <c r="E231" i="7"/>
  <c r="C191" i="7"/>
  <c r="U191" i="9" s="1"/>
  <c r="B191" i="7"/>
  <c r="D191" i="7" s="1"/>
  <c r="T231" i="7"/>
  <c r="U231" i="7"/>
  <c r="V231" i="7"/>
  <c r="T172" i="7"/>
  <c r="T155" i="7"/>
  <c r="U155" i="7"/>
  <c r="V155" i="7"/>
  <c r="T101" i="7"/>
  <c r="U101" i="7"/>
  <c r="V101" i="7"/>
  <c r="T33" i="7"/>
  <c r="U33" i="7"/>
  <c r="T17" i="7"/>
  <c r="U17" i="7"/>
  <c r="C67" i="7"/>
  <c r="C119" i="7" s="1"/>
  <c r="B84" i="7"/>
  <c r="B136" i="7" s="1"/>
  <c r="B67" i="7"/>
  <c r="B50" i="7"/>
  <c r="C50" i="7"/>
  <c r="D50" i="7"/>
  <c r="D33" i="7"/>
  <c r="D17" i="7"/>
  <c r="B66" i="7"/>
  <c r="B83" i="7"/>
  <c r="C66" i="7"/>
  <c r="C83" i="7" s="1"/>
  <c r="K239" i="7"/>
  <c r="H239" i="7"/>
  <c r="D239" i="7"/>
  <c r="T16" i="7"/>
  <c r="U16" i="7"/>
  <c r="T32" i="7"/>
  <c r="U32" i="7"/>
  <c r="T100" i="7"/>
  <c r="U100" i="7"/>
  <c r="V100" i="7"/>
  <c r="T154" i="7"/>
  <c r="U154" i="7"/>
  <c r="V154" i="7"/>
  <c r="T171" i="7"/>
  <c r="T230" i="7"/>
  <c r="U230" i="7"/>
  <c r="V230" i="7"/>
  <c r="E230" i="7"/>
  <c r="C190" i="7"/>
  <c r="U190" i="9" s="1"/>
  <c r="B190" i="7"/>
  <c r="B49" i="7"/>
  <c r="T49" i="9" s="1"/>
  <c r="C49" i="7"/>
  <c r="D49" i="7"/>
  <c r="D32" i="7"/>
  <c r="D16" i="7"/>
  <c r="D215" i="7"/>
  <c r="C215" i="7"/>
  <c r="B65" i="7"/>
  <c r="T65" i="9" s="1"/>
  <c r="B82" i="7"/>
  <c r="B81" i="7"/>
  <c r="B133" i="7" s="1"/>
  <c r="C65" i="7"/>
  <c r="T15" i="7"/>
  <c r="U15" i="7"/>
  <c r="T31" i="7"/>
  <c r="U31" i="7"/>
  <c r="T99" i="7"/>
  <c r="U99" i="7"/>
  <c r="V99" i="7"/>
  <c r="T153" i="7"/>
  <c r="U153" i="7"/>
  <c r="V153" i="7"/>
  <c r="T170" i="7"/>
  <c r="T229" i="7"/>
  <c r="U229" i="7"/>
  <c r="V229" i="7"/>
  <c r="E229" i="7"/>
  <c r="C189" i="7"/>
  <c r="U189" i="7" s="1"/>
  <c r="B189" i="7"/>
  <c r="D189" i="7" s="1"/>
  <c r="B48" i="7"/>
  <c r="C48" i="7"/>
  <c r="D31" i="7"/>
  <c r="D15" i="7"/>
  <c r="B64" i="7"/>
  <c r="C64" i="7"/>
  <c r="T14" i="7"/>
  <c r="U14" i="7"/>
  <c r="T30" i="7"/>
  <c r="U30" i="7"/>
  <c r="T98" i="7"/>
  <c r="U98" i="7"/>
  <c r="V98" i="7"/>
  <c r="T152" i="7"/>
  <c r="U152" i="7"/>
  <c r="V152" i="7"/>
  <c r="T169" i="7"/>
  <c r="T228" i="7"/>
  <c r="U228" i="7"/>
  <c r="V228" i="7"/>
  <c r="E228" i="7"/>
  <c r="C188" i="7"/>
  <c r="B188" i="7"/>
  <c r="B47" i="7"/>
  <c r="C47" i="7"/>
  <c r="D30" i="7"/>
  <c r="D14" i="7"/>
  <c r="C63" i="7"/>
  <c r="C115" i="7" s="1"/>
  <c r="B80" i="7"/>
  <c r="E227" i="7"/>
  <c r="C187" i="7"/>
  <c r="B187" i="7"/>
  <c r="B63" i="7"/>
  <c r="B46" i="7"/>
  <c r="C46" i="7"/>
  <c r="D29" i="7"/>
  <c r="D13" i="7"/>
  <c r="T227" i="7"/>
  <c r="U227" i="7"/>
  <c r="V227" i="7"/>
  <c r="T168" i="7"/>
  <c r="T151" i="7"/>
  <c r="U151" i="7"/>
  <c r="V151" i="7"/>
  <c r="T29" i="7"/>
  <c r="U29" i="7"/>
  <c r="T13" i="7"/>
  <c r="U13" i="7"/>
  <c r="C62" i="7"/>
  <c r="C79" i="7" s="1"/>
  <c r="B79" i="7"/>
  <c r="B131" i="7" s="1"/>
  <c r="B62" i="7"/>
  <c r="V54" i="10" l="1"/>
  <c r="D54" i="10"/>
  <c r="V21" i="10"/>
  <c r="D76" i="10"/>
  <c r="C88" i="10"/>
  <c r="C128" i="10"/>
  <c r="U128" i="10" s="1"/>
  <c r="U123" i="10"/>
  <c r="T123" i="10"/>
  <c r="D71" i="10"/>
  <c r="V71" i="10"/>
  <c r="T88" i="10"/>
  <c r="D79" i="10"/>
  <c r="D80" i="10"/>
  <c r="T140" i="10"/>
  <c r="B140" i="10"/>
  <c r="C135" i="7"/>
  <c r="U85" i="9"/>
  <c r="C135" i="9"/>
  <c r="U135" i="9" s="1"/>
  <c r="U83" i="9"/>
  <c r="B132" i="7"/>
  <c r="C118" i="7"/>
  <c r="D51" i="7"/>
  <c r="C120" i="7"/>
  <c r="D193" i="7"/>
  <c r="D53" i="7"/>
  <c r="T79" i="9"/>
  <c r="T63" i="9"/>
  <c r="U187" i="9"/>
  <c r="D47" i="9"/>
  <c r="T64" i="9"/>
  <c r="U188" i="9"/>
  <c r="V15" i="9"/>
  <c r="U65" i="9"/>
  <c r="V16" i="9"/>
  <c r="T135" i="9"/>
  <c r="V33" i="9"/>
  <c r="T84" i="9"/>
  <c r="D67" i="9"/>
  <c r="V18" i="9"/>
  <c r="B135" i="7"/>
  <c r="U68" i="9"/>
  <c r="T131" i="9"/>
  <c r="V13" i="9"/>
  <c r="T46" i="9"/>
  <c r="T132" i="9"/>
  <c r="V32" i="9"/>
  <c r="T67" i="9"/>
  <c r="D81" i="9"/>
  <c r="U69" i="9"/>
  <c r="U87" i="9"/>
  <c r="C139" i="9"/>
  <c r="U139" i="9" s="1"/>
  <c r="T191" i="9"/>
  <c r="T87" i="9"/>
  <c r="D192" i="7"/>
  <c r="B121" i="7"/>
  <c r="C86" i="7"/>
  <c r="D194" i="7"/>
  <c r="T62" i="9"/>
  <c r="U63" i="9"/>
  <c r="T47" i="9"/>
  <c r="B133" i="9"/>
  <c r="T133" i="9" s="1"/>
  <c r="V31" i="9"/>
  <c r="T48" i="9"/>
  <c r="D48" i="9"/>
  <c r="C117" i="9"/>
  <c r="T189" i="9"/>
  <c r="D49" i="9"/>
  <c r="C118" i="9"/>
  <c r="U118" i="9" s="1"/>
  <c r="T190" i="9"/>
  <c r="U67" i="9"/>
  <c r="D84" i="9"/>
  <c r="B136" i="9"/>
  <c r="T136" i="9" s="1"/>
  <c r="T139" i="9"/>
  <c r="T86" i="9"/>
  <c r="B134" i="7"/>
  <c r="T134" i="9" s="1"/>
  <c r="T85" i="9"/>
  <c r="B137" i="7"/>
  <c r="B120" i="7"/>
  <c r="T193" i="7"/>
  <c r="U193" i="7"/>
  <c r="U193" i="9"/>
  <c r="U62" i="9"/>
  <c r="C114" i="9"/>
  <c r="D46" i="9"/>
  <c r="C80" i="9"/>
  <c r="T80" i="9"/>
  <c r="U189" i="9"/>
  <c r="T82" i="9"/>
  <c r="U66" i="9"/>
  <c r="V17" i="9"/>
  <c r="T50" i="9"/>
  <c r="D83" i="9"/>
  <c r="U119" i="9"/>
  <c r="V69" i="9"/>
  <c r="T105" i="9"/>
  <c r="T83" i="9"/>
  <c r="D66" i="9"/>
  <c r="T66" i="9"/>
  <c r="D65" i="9"/>
  <c r="C133" i="9"/>
  <c r="B115" i="9"/>
  <c r="B116" i="9"/>
  <c r="D61" i="9"/>
  <c r="C112" i="9"/>
  <c r="C78" i="9"/>
  <c r="D78" i="9" s="1"/>
  <c r="C79" i="9"/>
  <c r="D79" i="9" s="1"/>
  <c r="C115" i="9"/>
  <c r="U115" i="9" s="1"/>
  <c r="C116" i="9"/>
  <c r="U64" i="9"/>
  <c r="D62" i="9"/>
  <c r="D42" i="9"/>
  <c r="D183" i="9"/>
  <c r="B114" i="9"/>
  <c r="D64" i="9"/>
  <c r="D63" i="9"/>
  <c r="C77" i="9"/>
  <c r="D77" i="9" s="1"/>
  <c r="D184" i="9"/>
  <c r="C76" i="9"/>
  <c r="B112" i="9"/>
  <c r="C111" i="9"/>
  <c r="B128" i="9"/>
  <c r="B88" i="9"/>
  <c r="B54" i="9"/>
  <c r="D43" i="9"/>
  <c r="T37" i="9"/>
  <c r="U37" i="9"/>
  <c r="T21" i="9"/>
  <c r="U21" i="9"/>
  <c r="T176" i="9"/>
  <c r="U105" i="9"/>
  <c r="V105" i="9"/>
  <c r="U159" i="9"/>
  <c r="V159" i="9"/>
  <c r="C54" i="9"/>
  <c r="D71" i="9"/>
  <c r="C71" i="9"/>
  <c r="C123" i="9" s="1"/>
  <c r="C195" i="9"/>
  <c r="D21" i="9"/>
  <c r="D54" i="9" s="1"/>
  <c r="B71" i="9"/>
  <c r="B195" i="9"/>
  <c r="D195" i="9" s="1"/>
  <c r="D70" i="7"/>
  <c r="C122" i="7"/>
  <c r="B122" i="7"/>
  <c r="C121" i="7"/>
  <c r="C137" i="7"/>
  <c r="D68" i="7"/>
  <c r="C84" i="7"/>
  <c r="U84" i="9" s="1"/>
  <c r="B119" i="7"/>
  <c r="D67" i="7"/>
  <c r="B118" i="7"/>
  <c r="D66" i="7"/>
  <c r="D190" i="7"/>
  <c r="D188" i="7"/>
  <c r="C116" i="7"/>
  <c r="D46" i="7"/>
  <c r="C82" i="7"/>
  <c r="C80" i="7"/>
  <c r="D48" i="7"/>
  <c r="T189" i="7"/>
  <c r="D47" i="7"/>
  <c r="B115" i="7"/>
  <c r="D62" i="7"/>
  <c r="D63" i="7"/>
  <c r="C81" i="7"/>
  <c r="U81" i="9" s="1"/>
  <c r="D187" i="7"/>
  <c r="B117" i="7"/>
  <c r="D65" i="7"/>
  <c r="C117" i="7"/>
  <c r="D64" i="7"/>
  <c r="B116" i="7"/>
  <c r="E226" i="7"/>
  <c r="C186" i="7"/>
  <c r="U186" i="7" s="1"/>
  <c r="B186" i="7"/>
  <c r="T186" i="7" s="1"/>
  <c r="C131" i="7"/>
  <c r="B114" i="7"/>
  <c r="C114" i="7"/>
  <c r="B45" i="7"/>
  <c r="T45" i="9" s="1"/>
  <c r="C45" i="7"/>
  <c r="D28" i="7"/>
  <c r="D12" i="7"/>
  <c r="V12" i="9" s="1"/>
  <c r="T226" i="7"/>
  <c r="U226" i="7"/>
  <c r="V226" i="7"/>
  <c r="T167" i="7"/>
  <c r="T150" i="7"/>
  <c r="U150" i="7"/>
  <c r="V150" i="7"/>
  <c r="T96" i="7"/>
  <c r="U96" i="7"/>
  <c r="V96" i="7"/>
  <c r="T28" i="7"/>
  <c r="U28" i="7"/>
  <c r="T12" i="7"/>
  <c r="U12" i="7"/>
  <c r="C61" i="7"/>
  <c r="C113" i="7" s="1"/>
  <c r="B78" i="7"/>
  <c r="T78" i="9" s="1"/>
  <c r="E225" i="7"/>
  <c r="C185" i="7"/>
  <c r="U185" i="9" s="1"/>
  <c r="B185" i="7"/>
  <c r="B61" i="7"/>
  <c r="T61" i="9" s="1"/>
  <c r="B44" i="7"/>
  <c r="T44" i="9" s="1"/>
  <c r="C44" i="7"/>
  <c r="T225" i="7"/>
  <c r="U225" i="7"/>
  <c r="V225" i="7"/>
  <c r="U185" i="7"/>
  <c r="T166" i="7"/>
  <c r="T149" i="7"/>
  <c r="U149" i="7"/>
  <c r="V149" i="7"/>
  <c r="T95" i="7"/>
  <c r="U95" i="7"/>
  <c r="V95" i="7"/>
  <c r="T27" i="7"/>
  <c r="U27" i="7"/>
  <c r="T11" i="7"/>
  <c r="U11" i="7"/>
  <c r="D27" i="7"/>
  <c r="D11" i="7"/>
  <c r="C60" i="7"/>
  <c r="U60" i="9" s="1"/>
  <c r="B77" i="7"/>
  <c r="B60" i="7"/>
  <c r="E224" i="7"/>
  <c r="C184" i="7"/>
  <c r="U184" i="7" s="1"/>
  <c r="B184" i="7"/>
  <c r="T184" i="7" s="1"/>
  <c r="B43" i="7"/>
  <c r="C43" i="7"/>
  <c r="T224" i="7"/>
  <c r="U224" i="7"/>
  <c r="V224" i="7"/>
  <c r="T165" i="7"/>
  <c r="T148" i="7"/>
  <c r="U148" i="7"/>
  <c r="V148" i="7"/>
  <c r="T26" i="7"/>
  <c r="U26" i="7"/>
  <c r="T10" i="7"/>
  <c r="U10" i="7"/>
  <c r="D26" i="7"/>
  <c r="V26" i="9" s="1"/>
  <c r="D10" i="7"/>
  <c r="C59" i="7"/>
  <c r="C111" i="7" s="1"/>
  <c r="B76" i="7"/>
  <c r="T76" i="9" s="1"/>
  <c r="C183" i="7"/>
  <c r="U183" i="7" s="1"/>
  <c r="B183" i="7"/>
  <c r="T183" i="7" s="1"/>
  <c r="B59" i="7"/>
  <c r="T59" i="9" s="1"/>
  <c r="U223" i="7"/>
  <c r="V223" i="7"/>
  <c r="T223" i="7"/>
  <c r="T164" i="7"/>
  <c r="U147" i="7"/>
  <c r="V147" i="7"/>
  <c r="T147" i="7"/>
  <c r="U93" i="7"/>
  <c r="V93" i="7"/>
  <c r="T93" i="7"/>
  <c r="U25" i="7"/>
  <c r="T25" i="7"/>
  <c r="U9" i="7"/>
  <c r="T9" i="7"/>
  <c r="E223" i="7"/>
  <c r="B176" i="7"/>
  <c r="D159" i="7"/>
  <c r="C159" i="7"/>
  <c r="B159" i="7"/>
  <c r="D105" i="7"/>
  <c r="C105" i="7"/>
  <c r="B105" i="7"/>
  <c r="C42" i="7"/>
  <c r="U42" i="9" s="1"/>
  <c r="B42" i="7"/>
  <c r="T42" i="9" s="1"/>
  <c r="C37" i="7"/>
  <c r="B37" i="7"/>
  <c r="D25" i="7"/>
  <c r="C21" i="7"/>
  <c r="B21" i="7"/>
  <c r="D9" i="7"/>
  <c r="V9" i="9" s="1"/>
  <c r="E222" i="6"/>
  <c r="C202" i="6"/>
  <c r="U202" i="6" s="1"/>
  <c r="B202" i="6"/>
  <c r="T183" i="6"/>
  <c r="T166" i="6"/>
  <c r="U166" i="6"/>
  <c r="V166" i="6"/>
  <c r="B95" i="6"/>
  <c r="C95" i="6"/>
  <c r="C78" i="6"/>
  <c r="U78" i="6" s="1"/>
  <c r="C130" i="6"/>
  <c r="T112" i="6"/>
  <c r="U112" i="6"/>
  <c r="V112" i="6"/>
  <c r="B78" i="6"/>
  <c r="D78" i="6" s="1"/>
  <c r="B61" i="6"/>
  <c r="C61" i="6"/>
  <c r="U53" i="7" s="1"/>
  <c r="T44" i="6"/>
  <c r="U44" i="6"/>
  <c r="T28" i="6"/>
  <c r="U28" i="6"/>
  <c r="D44" i="6"/>
  <c r="D28" i="6"/>
  <c r="V20" i="7" s="1"/>
  <c r="C77" i="6"/>
  <c r="C129" i="6" s="1"/>
  <c r="B94" i="6"/>
  <c r="B146" i="6" s="1"/>
  <c r="T138" i="7" s="1"/>
  <c r="E221" i="6"/>
  <c r="D201" i="6"/>
  <c r="T201" i="6"/>
  <c r="T182" i="6"/>
  <c r="T165" i="6"/>
  <c r="U165" i="6"/>
  <c r="V165" i="6"/>
  <c r="T111" i="6"/>
  <c r="U111" i="6"/>
  <c r="V111" i="6"/>
  <c r="B77" i="6"/>
  <c r="B60" i="6"/>
  <c r="C60" i="6"/>
  <c r="T43" i="6"/>
  <c r="U43" i="6"/>
  <c r="T27" i="6"/>
  <c r="U27" i="6"/>
  <c r="D43" i="6"/>
  <c r="D27" i="6"/>
  <c r="V19" i="7" s="1"/>
  <c r="B93" i="6"/>
  <c r="C76" i="6"/>
  <c r="U76" i="6" s="1"/>
  <c r="T26" i="6"/>
  <c r="U26" i="6"/>
  <c r="T42" i="6"/>
  <c r="U42" i="6"/>
  <c r="T110" i="6"/>
  <c r="U110" i="6"/>
  <c r="V110" i="6"/>
  <c r="T164" i="6"/>
  <c r="U164" i="6"/>
  <c r="V164" i="6"/>
  <c r="T181" i="6"/>
  <c r="E220" i="6"/>
  <c r="C200" i="6"/>
  <c r="U200" i="6" s="1"/>
  <c r="B200" i="6"/>
  <c r="T200" i="6" s="1"/>
  <c r="B76" i="6"/>
  <c r="B59" i="6"/>
  <c r="C59" i="6"/>
  <c r="U51" i="7" s="1"/>
  <c r="D42" i="6"/>
  <c r="D26" i="6"/>
  <c r="B75" i="6"/>
  <c r="T67" i="7" s="1"/>
  <c r="E219" i="6"/>
  <c r="C199" i="6"/>
  <c r="U191" i="7" s="1"/>
  <c r="B199" i="6"/>
  <c r="C75" i="6"/>
  <c r="U67" i="7" s="1"/>
  <c r="B92" i="6"/>
  <c r="B58" i="6"/>
  <c r="T50" i="7" s="1"/>
  <c r="C58" i="6"/>
  <c r="U50" i="7" s="1"/>
  <c r="U199" i="6"/>
  <c r="T180" i="6"/>
  <c r="T163" i="6"/>
  <c r="U163" i="6"/>
  <c r="V163" i="6"/>
  <c r="T109" i="6"/>
  <c r="U109" i="6"/>
  <c r="V109" i="6"/>
  <c r="U75" i="6"/>
  <c r="T41" i="6"/>
  <c r="U41" i="6"/>
  <c r="T25" i="6"/>
  <c r="U25" i="6"/>
  <c r="D41" i="6"/>
  <c r="V33" i="7" s="1"/>
  <c r="D25" i="6"/>
  <c r="E218" i="6"/>
  <c r="C198" i="6"/>
  <c r="U190" i="7" s="1"/>
  <c r="B198" i="6"/>
  <c r="D198" i="6" s="1"/>
  <c r="C74" i="6"/>
  <c r="U74" i="6" s="1"/>
  <c r="B91" i="6"/>
  <c r="B74" i="6"/>
  <c r="T66" i="7" s="1"/>
  <c r="T179" i="6"/>
  <c r="T162" i="6"/>
  <c r="U162" i="6"/>
  <c r="V162" i="6"/>
  <c r="T108" i="6"/>
  <c r="U108" i="6"/>
  <c r="V108" i="6"/>
  <c r="B57" i="6"/>
  <c r="C57" i="6"/>
  <c r="U49" i="7" s="1"/>
  <c r="T40" i="6"/>
  <c r="U40" i="6"/>
  <c r="T24" i="6"/>
  <c r="U24" i="6"/>
  <c r="D40" i="6"/>
  <c r="V32" i="7" s="1"/>
  <c r="D24" i="6"/>
  <c r="V16" i="7" s="1"/>
  <c r="C120" i="1"/>
  <c r="E217" i="6"/>
  <c r="T197" i="6"/>
  <c r="U197" i="6"/>
  <c r="D197" i="6"/>
  <c r="T178" i="6"/>
  <c r="T161" i="6"/>
  <c r="U161" i="6"/>
  <c r="V161" i="6"/>
  <c r="T107" i="6"/>
  <c r="U107" i="6"/>
  <c r="V107" i="6"/>
  <c r="B90" i="6"/>
  <c r="C73" i="6"/>
  <c r="C125" i="6" s="1"/>
  <c r="U73" i="6"/>
  <c r="B73" i="6"/>
  <c r="D73" i="6"/>
  <c r="B56" i="6"/>
  <c r="C56" i="6"/>
  <c r="T39" i="6"/>
  <c r="U39" i="6"/>
  <c r="T23" i="6"/>
  <c r="U23" i="6"/>
  <c r="D39" i="6"/>
  <c r="D23" i="6"/>
  <c r="V15" i="7" s="1"/>
  <c r="B72" i="6"/>
  <c r="T64" i="7" s="1"/>
  <c r="E216" i="6"/>
  <c r="C196" i="6"/>
  <c r="U196" i="6" s="1"/>
  <c r="B196" i="6"/>
  <c r="D196" i="6" s="1"/>
  <c r="T196" i="6"/>
  <c r="T177" i="6"/>
  <c r="T160" i="6"/>
  <c r="U160" i="6"/>
  <c r="V160" i="6"/>
  <c r="U106" i="6"/>
  <c r="T106" i="6"/>
  <c r="V106" i="6"/>
  <c r="B89" i="6"/>
  <c r="C72" i="6"/>
  <c r="C124" i="6" s="1"/>
  <c r="B55" i="6"/>
  <c r="T47" i="7" s="1"/>
  <c r="C55" i="6"/>
  <c r="T22" i="6"/>
  <c r="U22" i="6"/>
  <c r="T38" i="6"/>
  <c r="U38" i="6"/>
  <c r="D38" i="6"/>
  <c r="V30" i="7" s="1"/>
  <c r="D22" i="6"/>
  <c r="U88" i="10" l="1"/>
  <c r="U140" i="10"/>
  <c r="C140" i="10"/>
  <c r="D88" i="10"/>
  <c r="T90" i="6"/>
  <c r="B142" i="6"/>
  <c r="B143" i="6"/>
  <c r="T135" i="7" s="1"/>
  <c r="D199" i="6"/>
  <c r="T191" i="7"/>
  <c r="B128" i="6"/>
  <c r="T68" i="7"/>
  <c r="B145" i="6"/>
  <c r="T52" i="7"/>
  <c r="T53" i="7"/>
  <c r="C147" i="6"/>
  <c r="U87" i="7"/>
  <c r="T185" i="7"/>
  <c r="T185" i="9"/>
  <c r="C134" i="7"/>
  <c r="U82" i="9"/>
  <c r="U121" i="7"/>
  <c r="U122" i="7"/>
  <c r="T114" i="9"/>
  <c r="U59" i="9"/>
  <c r="T116" i="9"/>
  <c r="V65" i="9"/>
  <c r="T186" i="9"/>
  <c r="T120" i="7"/>
  <c r="U66" i="7"/>
  <c r="V11" i="9"/>
  <c r="V10" i="9"/>
  <c r="V21" i="9" s="1"/>
  <c r="T70" i="7"/>
  <c r="U64" i="7"/>
  <c r="U184" i="9"/>
  <c r="T83" i="7"/>
  <c r="V68" i="9"/>
  <c r="U120" i="9"/>
  <c r="U47" i="7"/>
  <c r="U113" i="9"/>
  <c r="D55" i="6"/>
  <c r="T65" i="7"/>
  <c r="T199" i="6"/>
  <c r="B144" i="6"/>
  <c r="T136" i="7" s="1"/>
  <c r="T69" i="7"/>
  <c r="B147" i="6"/>
  <c r="T139" i="7" s="1"/>
  <c r="T82" i="7"/>
  <c r="U137" i="9"/>
  <c r="T87" i="7"/>
  <c r="V70" i="7"/>
  <c r="V70" i="9"/>
  <c r="T60" i="9"/>
  <c r="U116" i="9"/>
  <c r="T115" i="9"/>
  <c r="T71" i="9"/>
  <c r="U80" i="9"/>
  <c r="C132" i="9"/>
  <c r="T192" i="7"/>
  <c r="T134" i="7"/>
  <c r="T183" i="9"/>
  <c r="U86" i="9"/>
  <c r="C138" i="7"/>
  <c r="T190" i="7"/>
  <c r="V14" i="7"/>
  <c r="U186" i="9"/>
  <c r="U183" i="9"/>
  <c r="U195" i="9" s="1"/>
  <c r="U68" i="7"/>
  <c r="T184" i="9"/>
  <c r="V17" i="7"/>
  <c r="T43" i="9"/>
  <c r="T54" i="9" s="1"/>
  <c r="V35" i="7"/>
  <c r="V36" i="7"/>
  <c r="T202" i="6"/>
  <c r="T194" i="7"/>
  <c r="B128" i="7"/>
  <c r="T128" i="9" s="1"/>
  <c r="T140" i="9" s="1"/>
  <c r="B129" i="7"/>
  <c r="T129" i="9" s="1"/>
  <c r="U117" i="7"/>
  <c r="U116" i="7"/>
  <c r="T86" i="7"/>
  <c r="V63" i="9"/>
  <c r="V62" i="9"/>
  <c r="V66" i="9"/>
  <c r="T137" i="9"/>
  <c r="T137" i="7"/>
  <c r="T49" i="7"/>
  <c r="T188" i="7"/>
  <c r="V27" i="9"/>
  <c r="T121" i="9"/>
  <c r="V34" i="7"/>
  <c r="U65" i="7"/>
  <c r="U122" i="9"/>
  <c r="V67" i="9"/>
  <c r="U61" i="9"/>
  <c r="U71" i="9" s="1"/>
  <c r="U194" i="7"/>
  <c r="V31" i="7"/>
  <c r="D76" i="9"/>
  <c r="T117" i="9"/>
  <c r="U54" i="9"/>
  <c r="B141" i="6"/>
  <c r="T133" i="7" s="1"/>
  <c r="T81" i="7"/>
  <c r="D74" i="6"/>
  <c r="V66" i="7" s="1"/>
  <c r="C92" i="6"/>
  <c r="C144" i="6" s="1"/>
  <c r="T51" i="7"/>
  <c r="U52" i="7"/>
  <c r="B130" i="7"/>
  <c r="T130" i="9" s="1"/>
  <c r="V65" i="7"/>
  <c r="C136" i="7"/>
  <c r="U84" i="7"/>
  <c r="T122" i="9"/>
  <c r="U111" i="9"/>
  <c r="T77" i="9"/>
  <c r="V64" i="9"/>
  <c r="V25" i="9"/>
  <c r="U114" i="9"/>
  <c r="U192" i="7"/>
  <c r="D80" i="9"/>
  <c r="U117" i="9"/>
  <c r="U70" i="7"/>
  <c r="U69" i="7"/>
  <c r="T48" i="7"/>
  <c r="T120" i="9"/>
  <c r="T118" i="9"/>
  <c r="U48" i="7"/>
  <c r="U121" i="9"/>
  <c r="T84" i="7"/>
  <c r="U188" i="7"/>
  <c r="V18" i="7"/>
  <c r="T119" i="9"/>
  <c r="V28" i="9"/>
  <c r="T85" i="7"/>
  <c r="C131" i="9"/>
  <c r="U131" i="9" s="1"/>
  <c r="U79" i="9"/>
  <c r="C130" i="9"/>
  <c r="C129" i="9"/>
  <c r="C128" i="9"/>
  <c r="B123" i="9"/>
  <c r="C88" i="9"/>
  <c r="T195" i="9"/>
  <c r="B140" i="9"/>
  <c r="T88" i="9"/>
  <c r="D45" i="7"/>
  <c r="B112" i="7"/>
  <c r="T112" i="9" s="1"/>
  <c r="D184" i="7"/>
  <c r="D186" i="7"/>
  <c r="D44" i="7"/>
  <c r="C76" i="7"/>
  <c r="U76" i="9" s="1"/>
  <c r="C77" i="7"/>
  <c r="U77" i="9" s="1"/>
  <c r="D185" i="7"/>
  <c r="C132" i="7"/>
  <c r="C78" i="7"/>
  <c r="C130" i="7" s="1"/>
  <c r="C195" i="7"/>
  <c r="B113" i="7"/>
  <c r="D43" i="7"/>
  <c r="C133" i="7"/>
  <c r="T37" i="7"/>
  <c r="D42" i="7"/>
  <c r="D183" i="7"/>
  <c r="U21" i="7"/>
  <c r="T176" i="7"/>
  <c r="U37" i="7"/>
  <c r="D61" i="7"/>
  <c r="V159" i="7"/>
  <c r="T159" i="7"/>
  <c r="U159" i="7"/>
  <c r="C112" i="7"/>
  <c r="U112" i="9" s="1"/>
  <c r="U123" i="9" s="1"/>
  <c r="D60" i="7"/>
  <c r="C54" i="7"/>
  <c r="D37" i="7"/>
  <c r="T21" i="7"/>
  <c r="B71" i="7"/>
  <c r="B54" i="7"/>
  <c r="D21" i="7"/>
  <c r="D59" i="7"/>
  <c r="B88" i="7"/>
  <c r="B111" i="7"/>
  <c r="B195" i="7"/>
  <c r="D195" i="7" s="1"/>
  <c r="C71" i="7"/>
  <c r="C123" i="7" s="1"/>
  <c r="D56" i="6"/>
  <c r="D57" i="6"/>
  <c r="D60" i="6"/>
  <c r="D77" i="6"/>
  <c r="D61" i="6"/>
  <c r="C89" i="6"/>
  <c r="U81" i="7" s="1"/>
  <c r="U72" i="6"/>
  <c r="C90" i="6"/>
  <c r="U82" i="7" s="1"/>
  <c r="B125" i="6"/>
  <c r="T117" i="7" s="1"/>
  <c r="C91" i="6"/>
  <c r="U83" i="7" s="1"/>
  <c r="B126" i="6"/>
  <c r="T118" i="7" s="1"/>
  <c r="D58" i="6"/>
  <c r="B127" i="6"/>
  <c r="D200" i="6"/>
  <c r="B129" i="6"/>
  <c r="B124" i="6"/>
  <c r="C126" i="6"/>
  <c r="C127" i="6"/>
  <c r="D59" i="6"/>
  <c r="C93" i="6"/>
  <c r="U85" i="7" s="1"/>
  <c r="C94" i="6"/>
  <c r="U86" i="7" s="1"/>
  <c r="D202" i="6"/>
  <c r="B130" i="6"/>
  <c r="T122" i="7" s="1"/>
  <c r="U77" i="6"/>
  <c r="D76" i="6"/>
  <c r="C128" i="6"/>
  <c r="U120" i="7" s="1"/>
  <c r="D75" i="6"/>
  <c r="V67" i="7" s="1"/>
  <c r="D72" i="6"/>
  <c r="E211" i="6"/>
  <c r="E212" i="6"/>
  <c r="E213" i="6"/>
  <c r="E214" i="6"/>
  <c r="E215" i="6"/>
  <c r="B71" i="6"/>
  <c r="C195" i="6"/>
  <c r="U187" i="7" s="1"/>
  <c r="U195" i="7" s="1"/>
  <c r="B195" i="6"/>
  <c r="T176" i="6"/>
  <c r="T159" i="6"/>
  <c r="U159" i="6"/>
  <c r="V159" i="6"/>
  <c r="D105" i="6"/>
  <c r="C105" i="6"/>
  <c r="U97" i="7" s="1"/>
  <c r="B105" i="6"/>
  <c r="C71" i="6"/>
  <c r="B88" i="6"/>
  <c r="B54" i="6"/>
  <c r="T46" i="7" s="1"/>
  <c r="C54" i="6"/>
  <c r="T37" i="6"/>
  <c r="U37" i="6"/>
  <c r="T21" i="6"/>
  <c r="U21" i="6"/>
  <c r="D37" i="6"/>
  <c r="D21" i="6"/>
  <c r="D194" i="6"/>
  <c r="U194" i="6"/>
  <c r="T194" i="6"/>
  <c r="T175" i="6"/>
  <c r="T158" i="6"/>
  <c r="U158" i="6"/>
  <c r="V158" i="6"/>
  <c r="T104" i="6"/>
  <c r="U104" i="6"/>
  <c r="V104" i="6"/>
  <c r="B87" i="6"/>
  <c r="C70" i="6"/>
  <c r="B70" i="6"/>
  <c r="T62" i="7" s="1"/>
  <c r="B53" i="6"/>
  <c r="C53" i="6"/>
  <c r="T36" i="6"/>
  <c r="U36" i="6"/>
  <c r="T20" i="6"/>
  <c r="U20" i="6"/>
  <c r="D36" i="6"/>
  <c r="V28" i="7" s="1"/>
  <c r="D20" i="6"/>
  <c r="V12" i="7" s="1"/>
  <c r="D193" i="6"/>
  <c r="B86" i="6"/>
  <c r="B138" i="6" s="1"/>
  <c r="T130" i="7" s="1"/>
  <c r="C69" i="6"/>
  <c r="C121" i="6" s="1"/>
  <c r="U113" i="7" s="1"/>
  <c r="T193" i="6"/>
  <c r="U193" i="6"/>
  <c r="T174" i="6"/>
  <c r="T157" i="6"/>
  <c r="U157" i="6"/>
  <c r="V157" i="6"/>
  <c r="T103" i="6"/>
  <c r="U103" i="6"/>
  <c r="V103" i="6"/>
  <c r="T86" i="6"/>
  <c r="B69" i="6"/>
  <c r="U69" i="6"/>
  <c r="B52" i="6"/>
  <c r="C52" i="6"/>
  <c r="U44" i="7" s="1"/>
  <c r="T35" i="6"/>
  <c r="U35" i="6"/>
  <c r="U19" i="6"/>
  <c r="T19" i="6"/>
  <c r="D35" i="6"/>
  <c r="D19" i="6"/>
  <c r="V11" i="7" s="1"/>
  <c r="T18" i="6"/>
  <c r="U18" i="6"/>
  <c r="T34" i="6"/>
  <c r="U34" i="6"/>
  <c r="T156" i="6"/>
  <c r="U156" i="6"/>
  <c r="V156" i="6"/>
  <c r="T173" i="6"/>
  <c r="T192" i="6"/>
  <c r="U192" i="6"/>
  <c r="D192" i="6"/>
  <c r="D102" i="6"/>
  <c r="C102" i="6"/>
  <c r="B102" i="6"/>
  <c r="C68" i="6"/>
  <c r="U68" i="6" s="1"/>
  <c r="B85" i="6"/>
  <c r="T77" i="7" s="1"/>
  <c r="B68" i="6"/>
  <c r="B51" i="6"/>
  <c r="C51" i="6"/>
  <c r="D34" i="6"/>
  <c r="V26" i="7" s="1"/>
  <c r="D18" i="6"/>
  <c r="B67" i="6"/>
  <c r="T59" i="7" s="1"/>
  <c r="D191" i="6"/>
  <c r="B84" i="6"/>
  <c r="T76" i="7" s="1"/>
  <c r="C67" i="6"/>
  <c r="U67" i="6" s="1"/>
  <c r="U191" i="6"/>
  <c r="T191" i="6"/>
  <c r="T172" i="6"/>
  <c r="T184" i="6" s="1"/>
  <c r="V155" i="6"/>
  <c r="V167" i="6" s="1"/>
  <c r="T155" i="6"/>
  <c r="U155" i="6"/>
  <c r="U101" i="6"/>
  <c r="V101" i="6"/>
  <c r="T101" i="6"/>
  <c r="T84" i="6"/>
  <c r="U33" i="6"/>
  <c r="U45" i="6" s="1"/>
  <c r="T33" i="6"/>
  <c r="T45" i="6" s="1"/>
  <c r="U17" i="6"/>
  <c r="T17" i="6"/>
  <c r="T29" i="6" s="1"/>
  <c r="C203" i="6"/>
  <c r="B203" i="6"/>
  <c r="B184" i="6"/>
  <c r="D167" i="6"/>
  <c r="C167" i="6"/>
  <c r="B167" i="6"/>
  <c r="C113" i="6"/>
  <c r="C50" i="6"/>
  <c r="B50" i="6"/>
  <c r="T42" i="7" s="1"/>
  <c r="C45" i="6"/>
  <c r="B45" i="6"/>
  <c r="D33" i="6"/>
  <c r="C29" i="6"/>
  <c r="B29" i="6"/>
  <c r="D17" i="6"/>
  <c r="D114" i="1"/>
  <c r="C114" i="1"/>
  <c r="B46" i="1"/>
  <c r="B79" i="1"/>
  <c r="T78" i="6" s="1"/>
  <c r="B109" i="5"/>
  <c r="B111" i="5"/>
  <c r="B115" i="5"/>
  <c r="B116" i="5"/>
  <c r="B86" i="1"/>
  <c r="B138" i="1" s="1"/>
  <c r="B96" i="1"/>
  <c r="B95" i="1"/>
  <c r="C80" i="1"/>
  <c r="C132" i="1" s="1"/>
  <c r="C46" i="1"/>
  <c r="B94" i="1"/>
  <c r="B146" i="1" s="1"/>
  <c r="T145" i="6" s="1"/>
  <c r="B93" i="1"/>
  <c r="B145" i="1" s="1"/>
  <c r="T144" i="6" s="1"/>
  <c r="B92" i="1"/>
  <c r="B90" i="1"/>
  <c r="B142" i="1" s="1"/>
  <c r="B89" i="1"/>
  <c r="B141" i="1" s="1"/>
  <c r="B88" i="1"/>
  <c r="B140" i="1" s="1"/>
  <c r="O139" i="1"/>
  <c r="O143" i="1"/>
  <c r="O137" i="1"/>
  <c r="C90" i="1"/>
  <c r="C142" i="1" s="1"/>
  <c r="C91" i="1"/>
  <c r="C143" i="1" s="1"/>
  <c r="C92" i="1"/>
  <c r="C144" i="1" s="1"/>
  <c r="C93" i="1"/>
  <c r="U92" i="6" s="1"/>
  <c r="C94" i="1"/>
  <c r="C146" i="1" s="1"/>
  <c r="C95" i="1"/>
  <c r="C147" i="1" s="1"/>
  <c r="C96" i="1"/>
  <c r="C148" i="1" s="1"/>
  <c r="C89" i="1"/>
  <c r="C141" i="1" s="1"/>
  <c r="B52" i="1"/>
  <c r="C52" i="1"/>
  <c r="D19" i="1"/>
  <c r="D35" i="1"/>
  <c r="B53" i="1"/>
  <c r="C53" i="1"/>
  <c r="D20" i="1"/>
  <c r="D36" i="1"/>
  <c r="B54" i="1"/>
  <c r="C54" i="1"/>
  <c r="D21" i="1"/>
  <c r="D37" i="1"/>
  <c r="B55" i="1"/>
  <c r="T54" i="6" s="1"/>
  <c r="C55" i="1"/>
  <c r="D22" i="1"/>
  <c r="D38" i="1"/>
  <c r="B56" i="1"/>
  <c r="T55" i="6" s="1"/>
  <c r="C56" i="1"/>
  <c r="U55" i="6" s="1"/>
  <c r="D23" i="1"/>
  <c r="V22" i="6" s="1"/>
  <c r="D39" i="1"/>
  <c r="B57" i="1"/>
  <c r="T56" i="6" s="1"/>
  <c r="C57" i="1"/>
  <c r="U56" i="6" s="1"/>
  <c r="D24" i="1"/>
  <c r="V23" i="6" s="1"/>
  <c r="D40" i="1"/>
  <c r="B58" i="1"/>
  <c r="T57" i="6" s="1"/>
  <c r="C58" i="1"/>
  <c r="U57" i="6" s="1"/>
  <c r="D25" i="1"/>
  <c r="V24" i="6" s="1"/>
  <c r="D41" i="1"/>
  <c r="B59" i="1"/>
  <c r="T58" i="6" s="1"/>
  <c r="C59" i="1"/>
  <c r="U58" i="6" s="1"/>
  <c r="D26" i="1"/>
  <c r="V25" i="6" s="1"/>
  <c r="D42" i="1"/>
  <c r="V41" i="6" s="1"/>
  <c r="B60" i="1"/>
  <c r="T59" i="6" s="1"/>
  <c r="C60" i="1"/>
  <c r="U59" i="6" s="1"/>
  <c r="D27" i="1"/>
  <c r="V26" i="6" s="1"/>
  <c r="D43" i="1"/>
  <c r="B61" i="1"/>
  <c r="T60" i="6" s="1"/>
  <c r="C61" i="1"/>
  <c r="U60" i="6" s="1"/>
  <c r="D28" i="1"/>
  <c r="V27" i="6" s="1"/>
  <c r="D44" i="1"/>
  <c r="B62" i="1"/>
  <c r="T61" i="6" s="1"/>
  <c r="C62" i="1"/>
  <c r="U61" i="6" s="1"/>
  <c r="D29" i="1"/>
  <c r="V28" i="6" s="1"/>
  <c r="D45" i="1"/>
  <c r="B30" i="1"/>
  <c r="B63" i="1" s="1"/>
  <c r="C30" i="1"/>
  <c r="C63" i="1" s="1"/>
  <c r="D18" i="1"/>
  <c r="D51" i="1" s="1"/>
  <c r="D34" i="1"/>
  <c r="D46" i="1"/>
  <c r="C51" i="1"/>
  <c r="B51" i="1"/>
  <c r="O51" i="1" s="1"/>
  <c r="B42" i="5"/>
  <c r="O52" i="1" s="1"/>
  <c r="C42" i="5"/>
  <c r="P52" i="1" s="1"/>
  <c r="B43" i="5"/>
  <c r="O53" i="1" s="1"/>
  <c r="C43" i="5"/>
  <c r="P53" i="1" s="1"/>
  <c r="B44" i="5"/>
  <c r="O54" i="1" s="1"/>
  <c r="C44" i="5"/>
  <c r="P54" i="1" s="1"/>
  <c r="B45" i="5"/>
  <c r="O55" i="1" s="1"/>
  <c r="C45" i="5"/>
  <c r="P55" i="1" s="1"/>
  <c r="B46" i="5"/>
  <c r="O56" i="1" s="1"/>
  <c r="C46" i="5"/>
  <c r="P56" i="1" s="1"/>
  <c r="B47" i="5"/>
  <c r="O57" i="1" s="1"/>
  <c r="C47" i="5"/>
  <c r="P57" i="1" s="1"/>
  <c r="B48" i="5"/>
  <c r="O58" i="1" s="1"/>
  <c r="C48" i="5"/>
  <c r="P58" i="1" s="1"/>
  <c r="B49" i="5"/>
  <c r="O59" i="1" s="1"/>
  <c r="C49" i="5"/>
  <c r="P59" i="1" s="1"/>
  <c r="B50" i="5"/>
  <c r="O60" i="1" s="1"/>
  <c r="C50" i="5"/>
  <c r="P60" i="1" s="1"/>
  <c r="B51" i="5"/>
  <c r="O61" i="1" s="1"/>
  <c r="C51" i="5"/>
  <c r="P61" i="1" s="1"/>
  <c r="B52" i="5"/>
  <c r="O62" i="1" s="1"/>
  <c r="C52" i="5"/>
  <c r="P62" i="1" s="1"/>
  <c r="C41" i="5"/>
  <c r="P51" i="1" s="1"/>
  <c r="B41" i="5"/>
  <c r="D203" i="1"/>
  <c r="O184" i="1"/>
  <c r="P167" i="1"/>
  <c r="Q167" i="1"/>
  <c r="C131" i="1"/>
  <c r="U130" i="6" s="1"/>
  <c r="P79" i="1"/>
  <c r="O45" i="1"/>
  <c r="P45" i="1"/>
  <c r="B156" i="5"/>
  <c r="D139" i="5"/>
  <c r="C139" i="5"/>
  <c r="B139" i="5"/>
  <c r="C36" i="5"/>
  <c r="B36" i="5"/>
  <c r="C20" i="5"/>
  <c r="C53" i="5" s="1"/>
  <c r="B20" i="5"/>
  <c r="B53" i="5" s="1"/>
  <c r="O29" i="1"/>
  <c r="P29" i="1"/>
  <c r="C202" i="1"/>
  <c r="U201" i="6" s="1"/>
  <c r="D202" i="1"/>
  <c r="O183" i="1"/>
  <c r="O166" i="1"/>
  <c r="P166" i="1"/>
  <c r="Q166" i="1"/>
  <c r="C130" i="1"/>
  <c r="U129" i="6" s="1"/>
  <c r="B78" i="1"/>
  <c r="D78" i="1" s="1"/>
  <c r="Q78" i="1" s="1"/>
  <c r="P78" i="1"/>
  <c r="O44" i="1"/>
  <c r="P44" i="1"/>
  <c r="O28" i="1"/>
  <c r="P28" i="1"/>
  <c r="B77" i="1"/>
  <c r="B129" i="1" s="1"/>
  <c r="O182" i="1"/>
  <c r="O165" i="1"/>
  <c r="P165" i="1"/>
  <c r="Q165" i="1"/>
  <c r="P77" i="1"/>
  <c r="O43" i="1"/>
  <c r="P43" i="1"/>
  <c r="O27" i="1"/>
  <c r="P27" i="1"/>
  <c r="D201" i="1"/>
  <c r="C129" i="1"/>
  <c r="B76" i="1"/>
  <c r="T75" i="6" s="1"/>
  <c r="B114" i="1"/>
  <c r="C121" i="1"/>
  <c r="C122" i="1"/>
  <c r="C123" i="1"/>
  <c r="C124" i="1"/>
  <c r="C125" i="1"/>
  <c r="U124" i="6" s="1"/>
  <c r="C126" i="1"/>
  <c r="U125" i="6" s="1"/>
  <c r="C127" i="1"/>
  <c r="C128" i="1"/>
  <c r="B86" i="5"/>
  <c r="B120" i="5" s="1"/>
  <c r="B85" i="5"/>
  <c r="B119" i="5" s="1"/>
  <c r="C102" i="5"/>
  <c r="C103" i="5"/>
  <c r="B70" i="5"/>
  <c r="D70" i="5" s="1"/>
  <c r="B69" i="5"/>
  <c r="O78" i="1" s="1"/>
  <c r="D69" i="5"/>
  <c r="D35" i="5"/>
  <c r="D19" i="5"/>
  <c r="D52" i="5" s="1"/>
  <c r="D34" i="5"/>
  <c r="D18" i="5"/>
  <c r="D51" i="5" s="1"/>
  <c r="B68" i="5"/>
  <c r="O77" i="1"/>
  <c r="D17" i="5"/>
  <c r="D33" i="5"/>
  <c r="C101" i="5"/>
  <c r="B84" i="5"/>
  <c r="B118" i="5" s="1"/>
  <c r="O146" i="1" s="1"/>
  <c r="D68" i="5"/>
  <c r="B83" i="5"/>
  <c r="B117" i="5" s="1"/>
  <c r="O145" i="1" s="1"/>
  <c r="B67" i="5"/>
  <c r="D67" i="5" s="1"/>
  <c r="D32" i="5"/>
  <c r="Q42" i="1" s="1"/>
  <c r="D16" i="5"/>
  <c r="C100" i="5"/>
  <c r="D200" i="1"/>
  <c r="O93" i="1"/>
  <c r="O181" i="1"/>
  <c r="O164" i="1"/>
  <c r="P164" i="1"/>
  <c r="Q164" i="1"/>
  <c r="D76" i="1"/>
  <c r="P76" i="1"/>
  <c r="O42" i="1"/>
  <c r="P42" i="1"/>
  <c r="O26" i="1"/>
  <c r="P26" i="1"/>
  <c r="O92" i="1"/>
  <c r="C199" i="1"/>
  <c r="B199" i="1"/>
  <c r="B75" i="1"/>
  <c r="T74" i="6" s="1"/>
  <c r="D193" i="1"/>
  <c r="D194" i="1"/>
  <c r="D195" i="1"/>
  <c r="D196" i="1"/>
  <c r="D197" i="1"/>
  <c r="D198" i="1"/>
  <c r="D192" i="1"/>
  <c r="O180" i="1"/>
  <c r="O163" i="1"/>
  <c r="P163" i="1"/>
  <c r="Q163" i="1"/>
  <c r="P75" i="1"/>
  <c r="O41" i="1"/>
  <c r="P41" i="1"/>
  <c r="O25" i="1"/>
  <c r="P25" i="1"/>
  <c r="C99" i="5"/>
  <c r="B66" i="5"/>
  <c r="B99" i="5" s="1"/>
  <c r="D15" i="5"/>
  <c r="D48" i="5" s="1"/>
  <c r="D31" i="5"/>
  <c r="B65" i="5"/>
  <c r="D65" i="5" s="1"/>
  <c r="D14" i="5"/>
  <c r="D30" i="5"/>
  <c r="C98" i="5"/>
  <c r="O179" i="1"/>
  <c r="O162" i="1"/>
  <c r="P162" i="1"/>
  <c r="Q162" i="1"/>
  <c r="O91" i="1"/>
  <c r="P74" i="1"/>
  <c r="O40" i="1"/>
  <c r="P40" i="1"/>
  <c r="O24" i="1"/>
  <c r="P24" i="1"/>
  <c r="B74" i="1"/>
  <c r="T73" i="6" s="1"/>
  <c r="Q40" i="1"/>
  <c r="B73" i="1"/>
  <c r="D73" i="1" s="1"/>
  <c r="Q73" i="1" s="1"/>
  <c r="B80" i="5"/>
  <c r="B114" i="5" s="1"/>
  <c r="O142" i="1" s="1"/>
  <c r="B64" i="5"/>
  <c r="C97" i="5"/>
  <c r="D64" i="5"/>
  <c r="D29" i="5"/>
  <c r="D13" i="5"/>
  <c r="D46" i="5" s="1"/>
  <c r="O23" i="1"/>
  <c r="P23" i="1"/>
  <c r="O39" i="1"/>
  <c r="P39" i="1"/>
  <c r="P73" i="1"/>
  <c r="O161" i="1"/>
  <c r="P161" i="1"/>
  <c r="Q161" i="1"/>
  <c r="O178" i="1"/>
  <c r="O90" i="1"/>
  <c r="Q23" i="1"/>
  <c r="B72" i="1"/>
  <c r="B124" i="1" s="1"/>
  <c r="O124" i="1" s="1"/>
  <c r="B79" i="5"/>
  <c r="B113" i="5" s="1"/>
  <c r="O141" i="1" s="1"/>
  <c r="C96" i="5"/>
  <c r="B63" i="5"/>
  <c r="D63" i="5" s="1"/>
  <c r="D12" i="5"/>
  <c r="D28" i="5"/>
  <c r="O177" i="1"/>
  <c r="Q160" i="1"/>
  <c r="P160" i="1"/>
  <c r="O160" i="1"/>
  <c r="P38" i="1"/>
  <c r="O38" i="1"/>
  <c r="P72" i="1"/>
  <c r="Q38" i="1"/>
  <c r="Q22" i="1"/>
  <c r="P22" i="1"/>
  <c r="O22" i="1"/>
  <c r="B71" i="1"/>
  <c r="O71" i="1" s="1"/>
  <c r="B185" i="1"/>
  <c r="O185" i="1" s="1"/>
  <c r="O157" i="1"/>
  <c r="O158" i="1"/>
  <c r="O159" i="1"/>
  <c r="D27" i="5"/>
  <c r="D11" i="5"/>
  <c r="D44" i="5" s="1"/>
  <c r="B62" i="5"/>
  <c r="B78" i="5"/>
  <c r="B112" i="5" s="1"/>
  <c r="C62" i="5"/>
  <c r="D62" i="5" s="1"/>
  <c r="C71" i="5"/>
  <c r="C104" i="5" s="1"/>
  <c r="C95" i="5"/>
  <c r="O176" i="1"/>
  <c r="Q159" i="1"/>
  <c r="P159" i="1"/>
  <c r="P71" i="1"/>
  <c r="D71" i="1"/>
  <c r="P37" i="1"/>
  <c r="O37" i="1"/>
  <c r="Q37" i="1"/>
  <c r="P21" i="1"/>
  <c r="O21" i="1"/>
  <c r="B70" i="1"/>
  <c r="B122" i="1" s="1"/>
  <c r="B61" i="5"/>
  <c r="D61" i="5" s="1"/>
  <c r="Q70" i="1" s="1"/>
  <c r="C94" i="5"/>
  <c r="D26" i="5"/>
  <c r="D10" i="5"/>
  <c r="Q158" i="1"/>
  <c r="P158" i="1"/>
  <c r="O175" i="1"/>
  <c r="P70" i="1"/>
  <c r="O87" i="1"/>
  <c r="D70" i="1"/>
  <c r="P36" i="1"/>
  <c r="O36" i="1"/>
  <c r="P20" i="1"/>
  <c r="O20" i="1"/>
  <c r="Q36" i="1"/>
  <c r="B68" i="1"/>
  <c r="B120" i="1" s="1"/>
  <c r="B69" i="1"/>
  <c r="D69" i="1" s="1"/>
  <c r="B76" i="5"/>
  <c r="B110" i="5" s="1"/>
  <c r="O138" i="1" s="1"/>
  <c r="B60" i="5"/>
  <c r="D60" i="5" s="1"/>
  <c r="D25" i="5"/>
  <c r="D9" i="5"/>
  <c r="D42" i="5" s="1"/>
  <c r="C93" i="5"/>
  <c r="O174" i="1"/>
  <c r="Q157" i="1"/>
  <c r="P157" i="1"/>
  <c r="O86" i="1"/>
  <c r="P69" i="1"/>
  <c r="P35" i="1"/>
  <c r="O35" i="1"/>
  <c r="P19" i="1"/>
  <c r="O19" i="1"/>
  <c r="O173" i="1"/>
  <c r="C168" i="1"/>
  <c r="D168" i="1"/>
  <c r="B168" i="1"/>
  <c r="O168" i="1" s="1"/>
  <c r="P156" i="1"/>
  <c r="Q156" i="1"/>
  <c r="O85" i="1"/>
  <c r="P68" i="1"/>
  <c r="P34" i="1"/>
  <c r="O34" i="1"/>
  <c r="P18" i="1"/>
  <c r="O18" i="1"/>
  <c r="B59" i="5"/>
  <c r="D24" i="5"/>
  <c r="D36" i="5" s="1"/>
  <c r="Q46" i="1" s="1"/>
  <c r="D8" i="5"/>
  <c r="C92" i="5"/>
  <c r="P120" i="1" s="1"/>
  <c r="D68" i="1"/>
  <c r="B96" i="5"/>
  <c r="O73" i="1"/>
  <c r="D66" i="5"/>
  <c r="Q41" i="1"/>
  <c r="B100" i="5"/>
  <c r="B101" i="5"/>
  <c r="B102" i="5"/>
  <c r="Q27" i="1"/>
  <c r="Q28" i="1"/>
  <c r="O95" i="1"/>
  <c r="B71" i="5"/>
  <c r="Q45" i="1"/>
  <c r="O96" i="1"/>
  <c r="O69" i="1"/>
  <c r="O72" i="1"/>
  <c r="Q25" i="1"/>
  <c r="B103" i="5"/>
  <c r="Q43" i="1"/>
  <c r="Q44" i="1"/>
  <c r="Q29" i="1"/>
  <c r="B87" i="5"/>
  <c r="O79" i="1"/>
  <c r="P127" i="1"/>
  <c r="P125" i="1"/>
  <c r="P123" i="1"/>
  <c r="P121" i="1"/>
  <c r="O129" i="1"/>
  <c r="P130" i="1"/>
  <c r="P131" i="1"/>
  <c r="P128" i="1"/>
  <c r="P126" i="1"/>
  <c r="P124" i="1"/>
  <c r="P122" i="1"/>
  <c r="B204" i="1"/>
  <c r="D204" i="1" s="1"/>
  <c r="B128" i="1"/>
  <c r="B126" i="1"/>
  <c r="B127" i="1"/>
  <c r="O127" i="1" s="1"/>
  <c r="B125" i="1"/>
  <c r="B123" i="1"/>
  <c r="B121" i="1"/>
  <c r="O30" i="1"/>
  <c r="B131" i="1"/>
  <c r="O131" i="1" s="1"/>
  <c r="D79" i="1"/>
  <c r="V78" i="6" s="1"/>
  <c r="P129" i="1"/>
  <c r="D74" i="1"/>
  <c r="V73" i="6" s="1"/>
  <c r="Q19" i="1"/>
  <c r="O76" i="1"/>
  <c r="D75" i="1"/>
  <c r="O75" i="1"/>
  <c r="Q35" i="1"/>
  <c r="Q20" i="1"/>
  <c r="Q39" i="1"/>
  <c r="Q21" i="1"/>
  <c r="O89" i="1"/>
  <c r="Q168" i="1"/>
  <c r="P168" i="1"/>
  <c r="B80" i="1"/>
  <c r="O80" i="1" s="1"/>
  <c r="B97" i="1"/>
  <c r="B132" i="1" s="1"/>
  <c r="O70" i="1"/>
  <c r="B94" i="5"/>
  <c r="P46" i="1"/>
  <c r="P30" i="1"/>
  <c r="P80" i="1"/>
  <c r="O68" i="1"/>
  <c r="Q75" i="1"/>
  <c r="O97" i="1" l="1"/>
  <c r="B92" i="5"/>
  <c r="D59" i="5"/>
  <c r="Q68" i="1" s="1"/>
  <c r="O63" i="1"/>
  <c r="T142" i="6"/>
  <c r="Q34" i="1"/>
  <c r="D41" i="5"/>
  <c r="Q51" i="1" s="1"/>
  <c r="Q18" i="1"/>
  <c r="D20" i="5"/>
  <c r="D53" i="5" s="1"/>
  <c r="Q71" i="1"/>
  <c r="T141" i="6"/>
  <c r="Q69" i="1"/>
  <c r="P132" i="1"/>
  <c r="D199" i="1"/>
  <c r="T198" i="6"/>
  <c r="D30" i="1"/>
  <c r="B144" i="1"/>
  <c r="O144" i="1" s="1"/>
  <c r="T91" i="6"/>
  <c r="V33" i="6"/>
  <c r="U50" i="6"/>
  <c r="U51" i="6"/>
  <c r="V35" i="6"/>
  <c r="T69" i="6"/>
  <c r="U53" i="6"/>
  <c r="U70" i="6"/>
  <c r="U62" i="7"/>
  <c r="D54" i="6"/>
  <c r="V13" i="7"/>
  <c r="U105" i="6"/>
  <c r="U195" i="6"/>
  <c r="U126" i="6"/>
  <c r="T124" i="6"/>
  <c r="V50" i="7"/>
  <c r="V60" i="9"/>
  <c r="U61" i="7"/>
  <c r="U59" i="7"/>
  <c r="U78" i="9"/>
  <c r="V37" i="9"/>
  <c r="T61" i="7"/>
  <c r="V51" i="7"/>
  <c r="U132" i="9"/>
  <c r="T92" i="6"/>
  <c r="T93" i="6"/>
  <c r="O88" i="1"/>
  <c r="B95" i="5"/>
  <c r="D45" i="5"/>
  <c r="D47" i="5"/>
  <c r="C204" i="1"/>
  <c r="U198" i="6"/>
  <c r="D49" i="5"/>
  <c r="D50" i="5"/>
  <c r="D77" i="1"/>
  <c r="Q77" i="1" s="1"/>
  <c r="B130" i="1"/>
  <c r="O130" i="1" s="1"/>
  <c r="D62" i="1"/>
  <c r="V61" i="6" s="1"/>
  <c r="D61" i="1"/>
  <c r="D60" i="1"/>
  <c r="Q60" i="1" s="1"/>
  <c r="D59" i="1"/>
  <c r="D58" i="1"/>
  <c r="D57" i="1"/>
  <c r="Q57" i="1" s="1"/>
  <c r="D56" i="1"/>
  <c r="D55" i="1"/>
  <c r="D54" i="1"/>
  <c r="D53" i="1"/>
  <c r="D52" i="1"/>
  <c r="C145" i="1"/>
  <c r="C149" i="1" s="1"/>
  <c r="V17" i="6"/>
  <c r="T51" i="6"/>
  <c r="B113" i="6"/>
  <c r="T94" i="7"/>
  <c r="U52" i="6"/>
  <c r="T53" i="6"/>
  <c r="T139" i="6"/>
  <c r="B139" i="6"/>
  <c r="T131" i="7" s="1"/>
  <c r="T79" i="7"/>
  <c r="V37" i="6"/>
  <c r="V29" i="7"/>
  <c r="B123" i="6"/>
  <c r="B140" i="6"/>
  <c r="T80" i="7"/>
  <c r="T105" i="6"/>
  <c r="T97" i="7"/>
  <c r="T195" i="6"/>
  <c r="T187" i="7"/>
  <c r="T195" i="7" s="1"/>
  <c r="V72" i="6"/>
  <c r="T89" i="6"/>
  <c r="T76" i="6"/>
  <c r="T126" i="6"/>
  <c r="V77" i="6"/>
  <c r="V69" i="7"/>
  <c r="V57" i="6"/>
  <c r="V49" i="7"/>
  <c r="U60" i="7"/>
  <c r="U144" i="6"/>
  <c r="T121" i="7"/>
  <c r="T45" i="7"/>
  <c r="V43" i="6"/>
  <c r="V40" i="6"/>
  <c r="U138" i="9"/>
  <c r="V64" i="7"/>
  <c r="V27" i="7"/>
  <c r="T77" i="6"/>
  <c r="V39" i="6"/>
  <c r="U43" i="7"/>
  <c r="U147" i="6"/>
  <c r="U139" i="7"/>
  <c r="Q74" i="1"/>
  <c r="Q79" i="1"/>
  <c r="B147" i="1"/>
  <c r="T146" i="6" s="1"/>
  <c r="T94" i="6"/>
  <c r="O46" i="1"/>
  <c r="V18" i="6"/>
  <c r="T68" i="6"/>
  <c r="U102" i="6"/>
  <c r="U94" i="7"/>
  <c r="U105" i="7" s="1"/>
  <c r="T52" i="6"/>
  <c r="U54" i="6"/>
  <c r="U46" i="7"/>
  <c r="C88" i="6"/>
  <c r="U80" i="7" s="1"/>
  <c r="U63" i="7"/>
  <c r="V75" i="6"/>
  <c r="U95" i="6"/>
  <c r="U127" i="6"/>
  <c r="U119" i="7"/>
  <c r="V60" i="6"/>
  <c r="V52" i="7"/>
  <c r="V56" i="6"/>
  <c r="V59" i="9"/>
  <c r="V9" i="7"/>
  <c r="U133" i="9"/>
  <c r="V74" i="6"/>
  <c r="T72" i="6"/>
  <c r="V38" i="6"/>
  <c r="D88" i="9"/>
  <c r="V48" i="7"/>
  <c r="T44" i="7"/>
  <c r="V53" i="7"/>
  <c r="T60" i="7"/>
  <c r="V42" i="6"/>
  <c r="U118" i="7"/>
  <c r="U134" i="9"/>
  <c r="T116" i="7"/>
  <c r="V10" i="7"/>
  <c r="T128" i="6"/>
  <c r="O123" i="1"/>
  <c r="O128" i="1"/>
  <c r="B104" i="5"/>
  <c r="B93" i="5"/>
  <c r="O121" i="1" s="1"/>
  <c r="D43" i="5"/>
  <c r="O122" i="1"/>
  <c r="D72" i="1"/>
  <c r="D80" i="1" s="1"/>
  <c r="B97" i="5"/>
  <c r="O125" i="1" s="1"/>
  <c r="O74" i="1"/>
  <c r="B98" i="5"/>
  <c r="O126" i="1" s="1"/>
  <c r="Q26" i="1"/>
  <c r="Q76" i="1"/>
  <c r="B148" i="1"/>
  <c r="T147" i="6" s="1"/>
  <c r="T95" i="6"/>
  <c r="T50" i="6"/>
  <c r="T136" i="6"/>
  <c r="B136" i="6"/>
  <c r="T128" i="7" s="1"/>
  <c r="V34" i="6"/>
  <c r="B137" i="6"/>
  <c r="T129" i="7" s="1"/>
  <c r="D113" i="6"/>
  <c r="V94" i="7"/>
  <c r="V105" i="7" s="1"/>
  <c r="D52" i="6"/>
  <c r="U121" i="6"/>
  <c r="V36" i="6"/>
  <c r="T70" i="6"/>
  <c r="V105" i="6"/>
  <c r="V97" i="7"/>
  <c r="T71" i="6"/>
  <c r="T63" i="7"/>
  <c r="T71" i="7" s="1"/>
  <c r="U128" i="6"/>
  <c r="T130" i="6"/>
  <c r="T127" i="6"/>
  <c r="T125" i="6"/>
  <c r="T111" i="9"/>
  <c r="T123" i="9" s="1"/>
  <c r="U42" i="7"/>
  <c r="T113" i="9"/>
  <c r="U130" i="9"/>
  <c r="V61" i="9"/>
  <c r="U136" i="7"/>
  <c r="U136" i="9"/>
  <c r="T78" i="7"/>
  <c r="T119" i="7"/>
  <c r="V44" i="6"/>
  <c r="U45" i="7"/>
  <c r="T43" i="7"/>
  <c r="T54" i="7" s="1"/>
  <c r="V55" i="6"/>
  <c r="V68" i="7"/>
  <c r="V47" i="7"/>
  <c r="V25" i="7"/>
  <c r="V37" i="7" s="1"/>
  <c r="T143" i="6"/>
  <c r="T203" i="6"/>
  <c r="U88" i="9"/>
  <c r="U29" i="6"/>
  <c r="T167" i="6"/>
  <c r="U203" i="6"/>
  <c r="U167" i="6"/>
  <c r="C140" i="9"/>
  <c r="B140" i="7"/>
  <c r="C129" i="7"/>
  <c r="U129" i="7" s="1"/>
  <c r="B123" i="7"/>
  <c r="D54" i="7"/>
  <c r="V21" i="7"/>
  <c r="T88" i="7"/>
  <c r="U71" i="7"/>
  <c r="C128" i="7"/>
  <c r="U128" i="9" s="1"/>
  <c r="C88" i="7"/>
  <c r="D71" i="7"/>
  <c r="C85" i="6"/>
  <c r="C137" i="6" s="1"/>
  <c r="D53" i="6"/>
  <c r="V45" i="7" s="1"/>
  <c r="T88" i="6"/>
  <c r="C84" i="6"/>
  <c r="B121" i="6"/>
  <c r="T121" i="6" s="1"/>
  <c r="C140" i="6"/>
  <c r="U140" i="6" s="1"/>
  <c r="U88" i="6"/>
  <c r="D67" i="6"/>
  <c r="V67" i="6" s="1"/>
  <c r="B79" i="6"/>
  <c r="C146" i="6"/>
  <c r="U146" i="6" s="1"/>
  <c r="U94" i="6"/>
  <c r="U93" i="6"/>
  <c r="C145" i="6"/>
  <c r="V45" i="6"/>
  <c r="U62" i="6"/>
  <c r="U113" i="6"/>
  <c r="D51" i="6"/>
  <c r="D68" i="6"/>
  <c r="V68" i="6" s="1"/>
  <c r="C120" i="6"/>
  <c r="U120" i="6" s="1"/>
  <c r="T85" i="6"/>
  <c r="C86" i="6"/>
  <c r="T138" i="6"/>
  <c r="C87" i="6"/>
  <c r="T87" i="6"/>
  <c r="B122" i="6"/>
  <c r="V21" i="6"/>
  <c r="C143" i="6"/>
  <c r="U91" i="6"/>
  <c r="U90" i="6"/>
  <c r="C142" i="6"/>
  <c r="U142" i="6" s="1"/>
  <c r="C141" i="6"/>
  <c r="U141" i="6" s="1"/>
  <c r="U89" i="6"/>
  <c r="T62" i="6"/>
  <c r="D50" i="6"/>
  <c r="B120" i="6"/>
  <c r="T120" i="6" s="1"/>
  <c r="V102" i="6"/>
  <c r="V113" i="6" s="1"/>
  <c r="T102" i="6"/>
  <c r="T113" i="6" s="1"/>
  <c r="V19" i="6"/>
  <c r="V20" i="6"/>
  <c r="B96" i="6"/>
  <c r="C122" i="6"/>
  <c r="C96" i="6"/>
  <c r="C123" i="6"/>
  <c r="D195" i="6"/>
  <c r="U71" i="6"/>
  <c r="U79" i="6" s="1"/>
  <c r="D71" i="6"/>
  <c r="D70" i="6"/>
  <c r="D69" i="6"/>
  <c r="V69" i="6" s="1"/>
  <c r="B119" i="6"/>
  <c r="T119" i="6" s="1"/>
  <c r="C79" i="6"/>
  <c r="C119" i="6"/>
  <c r="C62" i="6"/>
  <c r="T67" i="6"/>
  <c r="T79" i="6" s="1"/>
  <c r="C131" i="6"/>
  <c r="D203" i="6"/>
  <c r="D29" i="6"/>
  <c r="D45" i="6"/>
  <c r="V50" i="6"/>
  <c r="B62" i="6"/>
  <c r="B121" i="5"/>
  <c r="O132" i="1"/>
  <c r="D71" i="5"/>
  <c r="O120" i="1"/>
  <c r="P63" i="1"/>
  <c r="O140" i="1"/>
  <c r="O148" i="1"/>
  <c r="O147" i="1"/>
  <c r="B149" i="1"/>
  <c r="O149" i="1" s="1"/>
  <c r="Q62" i="1"/>
  <c r="Q61" i="1"/>
  <c r="Q58" i="1"/>
  <c r="Q56" i="1"/>
  <c r="Q54" i="1"/>
  <c r="Q53" i="1"/>
  <c r="Q52" i="1"/>
  <c r="Q24" i="1"/>
  <c r="O94" i="1"/>
  <c r="U122" i="6" l="1"/>
  <c r="U114" i="7"/>
  <c r="T122" i="6"/>
  <c r="T114" i="7"/>
  <c r="C138" i="6"/>
  <c r="U130" i="7" s="1"/>
  <c r="U78" i="7"/>
  <c r="V51" i="6"/>
  <c r="U145" i="6"/>
  <c r="U137" i="7"/>
  <c r="T111" i="7"/>
  <c r="V52" i="6"/>
  <c r="T137" i="6"/>
  <c r="V44" i="7"/>
  <c r="T123" i="6"/>
  <c r="T115" i="7"/>
  <c r="T105" i="7"/>
  <c r="Q55" i="1"/>
  <c r="Q59" i="1"/>
  <c r="U133" i="7"/>
  <c r="V60" i="7"/>
  <c r="C136" i="6"/>
  <c r="U76" i="7"/>
  <c r="T113" i="7"/>
  <c r="V43" i="7"/>
  <c r="V71" i="9"/>
  <c r="Q72" i="1"/>
  <c r="V61" i="7"/>
  <c r="V58" i="6"/>
  <c r="U119" i="6"/>
  <c r="U111" i="7"/>
  <c r="V70" i="6"/>
  <c r="V62" i="7"/>
  <c r="U123" i="6"/>
  <c r="U115" i="7"/>
  <c r="U143" i="6"/>
  <c r="U135" i="7"/>
  <c r="C139" i="6"/>
  <c r="U131" i="7" s="1"/>
  <c r="U79" i="7"/>
  <c r="U77" i="7"/>
  <c r="U54" i="7"/>
  <c r="V42" i="7"/>
  <c r="V59" i="7"/>
  <c r="U129" i="9"/>
  <c r="U140" i="9" s="1"/>
  <c r="T129" i="6"/>
  <c r="V59" i="6"/>
  <c r="D63" i="1"/>
  <c r="Q63" i="1" s="1"/>
  <c r="Q30" i="1"/>
  <c r="Q80" i="1"/>
  <c r="V71" i="6"/>
  <c r="V63" i="7"/>
  <c r="V53" i="6"/>
  <c r="V54" i="9"/>
  <c r="U134" i="7"/>
  <c r="U112" i="7"/>
  <c r="U123" i="7" s="1"/>
  <c r="U138" i="7"/>
  <c r="T112" i="7"/>
  <c r="T132" i="7"/>
  <c r="T140" i="7" s="1"/>
  <c r="T140" i="6"/>
  <c r="T148" i="6" s="1"/>
  <c r="U132" i="7"/>
  <c r="V76" i="6"/>
  <c r="V79" i="6" s="1"/>
  <c r="V54" i="6"/>
  <c r="V46" i="7"/>
  <c r="T131" i="6"/>
  <c r="C140" i="7"/>
  <c r="U128" i="7"/>
  <c r="U140" i="7" s="1"/>
  <c r="V62" i="6"/>
  <c r="V29" i="6"/>
  <c r="C148" i="6"/>
  <c r="T96" i="6"/>
  <c r="U148" i="6"/>
  <c r="U96" i="6"/>
  <c r="B148" i="6"/>
  <c r="D62" i="6"/>
  <c r="D79" i="6"/>
  <c r="B131" i="6"/>
  <c r="V54" i="7" l="1"/>
  <c r="U131" i="6"/>
  <c r="T123" i="7"/>
  <c r="V71" i="7"/>
  <c r="U88" i="7"/>
</calcChain>
</file>

<file path=xl/sharedStrings.xml><?xml version="1.0" encoding="utf-8"?>
<sst xmlns="http://schemas.openxmlformats.org/spreadsheetml/2006/main" count="1057" uniqueCount="167">
  <si>
    <t>CARD ACQUIRING SERVICE MONTHLY METRICS</t>
  </si>
  <si>
    <t>Month</t>
  </si>
  <si>
    <t>Credit</t>
  </si>
  <si>
    <t>PIN Debit</t>
  </si>
  <si>
    <t>Total</t>
  </si>
  <si>
    <t>Sales Dollars</t>
  </si>
  <si>
    <t>Number of Transactions</t>
  </si>
  <si>
    <t>Interchange</t>
  </si>
  <si>
    <t>FY2011 Total to date</t>
  </si>
  <si>
    <t>% change Y-Y (Credit)</t>
  </si>
  <si>
    <t>% change Y-Y (Debit)</t>
  </si>
  <si>
    <t>% change Y-Y (Total)</t>
  </si>
  <si>
    <t>Volumes</t>
  </si>
  <si>
    <t>Costs</t>
  </si>
  <si>
    <t>Account Set-Up</t>
  </si>
  <si>
    <t>New Accounts</t>
  </si>
  <si>
    <t>Applications/Account Set-Up</t>
  </si>
  <si>
    <t>New Locations</t>
  </si>
  <si>
    <t>% change Y-Y (Acts)</t>
  </si>
  <si>
    <t>% change Y-Y (Loc's)</t>
  </si>
  <si>
    <t>Network Fees</t>
  </si>
  <si>
    <t>Agency Listing Sheet - number of chains added during the month</t>
  </si>
  <si>
    <t>Total New MIDs</t>
  </si>
  <si>
    <t>Agency Listing Sheet - number of new MID's added during the month (excludes MID's added under new chains)</t>
  </si>
  <si>
    <t>Agency Listing Sheet - number of new MID's added during the month (includes MID's added under new chains)</t>
  </si>
  <si>
    <t>Total New Locations</t>
  </si>
  <si>
    <t>New Location Only Set-up</t>
  </si>
  <si>
    <t>New Account    Set-up</t>
  </si>
  <si>
    <t>Fiscal 2010</t>
  </si>
  <si>
    <t>Average Ticket</t>
  </si>
  <si>
    <t>FY2010 Total to date</t>
  </si>
  <si>
    <t>Average Fee</t>
  </si>
  <si>
    <t>Active Terminals</t>
  </si>
  <si>
    <t>Accounts On File</t>
  </si>
  <si>
    <t>AccountS On File</t>
  </si>
  <si>
    <t>* based on interchange and network fees</t>
  </si>
  <si>
    <t xml:space="preserve">FY2011 Avg # Accts </t>
  </si>
  <si>
    <t xml:space="preserve">FY2010 Avg # Accts </t>
  </si>
  <si>
    <t>Agency Listing Sheet - sort by MID status and then Terminal status - number of 10 merchant status and A terminal status only</t>
  </si>
  <si>
    <t>Terminals On File</t>
  </si>
  <si>
    <t>Chargeback Data</t>
  </si>
  <si>
    <t>Number</t>
  </si>
  <si>
    <t>Amount</t>
  </si>
  <si>
    <t>Chargeback to Sales Ratio</t>
  </si>
  <si>
    <t>2010 Visa Average MCC 9399</t>
  </si>
  <si>
    <t>Signature Debit</t>
  </si>
  <si>
    <t>Signature Debit Interchange Breakout</t>
  </si>
  <si>
    <t>Sig Debit Intx Breakout</t>
  </si>
  <si>
    <t>Count</t>
  </si>
  <si>
    <t>Chargebacks</t>
  </si>
  <si>
    <t>PIN Debit*</t>
  </si>
  <si>
    <t>* includes interchange and network fees</t>
  </si>
  <si>
    <t>* as of Feb 2011 network fees for PIN debit will be presented - these are include in interchange for 2011</t>
  </si>
  <si>
    <t>Average Network Fee Per Transaction</t>
  </si>
  <si>
    <t>Average Cost Per Transaction</t>
  </si>
  <si>
    <t>* excludes Discover and Amex which carry no network fees</t>
  </si>
  <si>
    <t>Credit*</t>
  </si>
  <si>
    <t>Average Cost</t>
  </si>
  <si>
    <t>Strong growth in transaction volume - 11.7% growth in sales by amount and 21% growth in sales by count over FY2010</t>
  </si>
  <si>
    <t>PIN Debit interchange expense increased dramatically in FY2011 as networks increased revenues to offset anticipated lower renevues post regulation</t>
  </si>
  <si>
    <t>Credit Network fees fro Visa and MasterCard increased 27.1% as they continue to grow new revenue as public companies</t>
  </si>
  <si>
    <t>Chargeback to Sales ratio trended downward in FY2011 and remained below industry averages for your MCC</t>
  </si>
  <si>
    <t>Average ticket amount continues to decline - 11.8% decline from FY2011</t>
  </si>
  <si>
    <t xml:space="preserve">                           * Credit transaction count growth much stronger than PIN Debit at 29.9% for credit and only 4.8% for PIN Debit (which is DeCA only)</t>
  </si>
  <si>
    <t>FY2011 Program Highlights</t>
  </si>
  <si>
    <t xml:space="preserve">Additional tables have been added to our tracking documentation throughout the year that will help support FY2012 reporting of legislation impact </t>
  </si>
  <si>
    <t>Credit Interchange expense remained relatively flat in comparison to sales volume increase</t>
  </si>
  <si>
    <t xml:space="preserve">Fiscal 2011 </t>
  </si>
  <si>
    <t>Fiscal 2012</t>
  </si>
  <si>
    <t>2011 Visa Average MCC 9399</t>
  </si>
  <si>
    <t>% change Y-Y</t>
  </si>
  <si>
    <t xml:space="preserve">% change Y-Y </t>
  </si>
  <si>
    <t>% change Y-Y (Nbr)</t>
  </si>
  <si>
    <t>% change Y-Y (Amt)</t>
  </si>
  <si>
    <t>* interchange only</t>
  </si>
  <si>
    <t>Sum VI, MC, DI from Reason Code Summary</t>
  </si>
  <si>
    <t>FY2012 Total</t>
  </si>
  <si>
    <t xml:space="preserve">FY2012 Avg Accts </t>
  </si>
  <si>
    <t>PCI Assist</t>
  </si>
  <si>
    <t>Level 4 Agencies</t>
  </si>
  <si>
    <t>PCI Assist Program Data</t>
  </si>
  <si>
    <t>% Compliant</t>
  </si>
  <si>
    <t>Compliant Agencies</t>
  </si>
  <si>
    <t>Registered Agencies</t>
  </si>
  <si>
    <t>Average ticket amount continues to decline - 3.2% decline from FY2011, but this is slower than decline from FY2011 to FY2010 (8.1%)</t>
  </si>
  <si>
    <t>Growth in transaction volume - 8.1% growth in sales by amount and 5.1% growth in sales by count over FY2011, which was much slow than % growth in FY2011 over FY2010 (11.7% sales $ / 21% sales count)</t>
  </si>
  <si>
    <t>Total credit interchange expense decreased 1.7% despite 7.6% growth in sales, this is largely due to the "Durbin" savings</t>
  </si>
  <si>
    <t>Total PIN Debit interchange expense decreased 14.5% depsite 9.4% growth in sales, this is largely due to "Durbin" savings.</t>
  </si>
  <si>
    <t>Credit Network fees for Visa and MasterCard conitinued to increase 11.8% with the additional of FANF and MC Acquirer Fees among others</t>
  </si>
  <si>
    <t>Chargeback to Sales ratio decreased 4.2% YOY and remained below industry averages for your MCC</t>
  </si>
  <si>
    <t>For credit interchange, signature debit transactions increased YOY 8.5% by count and 10.4% by amount, but the interchange was reduced by 35.1% YOY</t>
  </si>
  <si>
    <t>FY2012 Program Highlights</t>
  </si>
  <si>
    <t>Fiscal 2013</t>
  </si>
  <si>
    <t>% change Y-Y Level 4</t>
  </si>
  <si>
    <t>% change Y-Y Complnt</t>
  </si>
  <si>
    <t>% change Y-Y Regstrd</t>
  </si>
  <si>
    <t>Mobile Payments</t>
  </si>
  <si>
    <t>Mobile Devices</t>
  </si>
  <si>
    <t>Sales</t>
  </si>
  <si>
    <t>Volume</t>
  </si>
  <si>
    <t xml:space="preserve">Agencies: </t>
  </si>
  <si>
    <t>NPS</t>
  </si>
  <si>
    <t>PCI DSS</t>
  </si>
  <si>
    <t>PCI Assist (Level 4) Program Data</t>
  </si>
  <si>
    <t>PCI DSS Program Tracking</t>
  </si>
  <si>
    <t>Level 1 Agencies</t>
  </si>
  <si>
    <t>Level 1 Compliant Agencies</t>
  </si>
  <si>
    <t xml:space="preserve">Level 1 % Compliant </t>
  </si>
  <si>
    <t>Level 2 Agencies</t>
  </si>
  <si>
    <t>Level 2 Compliant Agencies</t>
  </si>
  <si>
    <t xml:space="preserve">Level 2 % Compliant </t>
  </si>
  <si>
    <t>Level 3 Agencies</t>
  </si>
  <si>
    <t>Level 3 Compliant Agencies</t>
  </si>
  <si>
    <t xml:space="preserve">Level 3 % Compliant </t>
  </si>
  <si>
    <t>Average Interchange Cost Per Transaction</t>
  </si>
  <si>
    <t>* excludes Amex which carry no network fees</t>
  </si>
  <si>
    <t>FY2013 Total</t>
  </si>
  <si>
    <t xml:space="preserve">FY2013 Avg Accts </t>
  </si>
  <si>
    <t>Fiscal 2014</t>
  </si>
  <si>
    <t>FY2014 Total</t>
  </si>
  <si>
    <t xml:space="preserve">FY2014 Avg Accts </t>
  </si>
  <si>
    <t>NPS 4445012017954</t>
  </si>
  <si>
    <t>2013 Visa Average MCC 9399</t>
  </si>
  <si>
    <t>Fiscal 2015</t>
  </si>
  <si>
    <t>FY2015 Total</t>
  </si>
  <si>
    <t xml:space="preserve">FY2015 Avg Accts </t>
  </si>
  <si>
    <t xml:space="preserve">NPS 4445012017954, 4445013737759  </t>
  </si>
  <si>
    <t>Drag down formula</t>
  </si>
  <si>
    <t>Monthly Interchange Sheet - "Monthly Interchange Fee Amt" + Discover Bill + Amex Bill+ VI ISA+VI IAF + MC Cross Border + MC Support</t>
  </si>
  <si>
    <t>average Interchange</t>
  </si>
  <si>
    <t>average Network fee</t>
  </si>
  <si>
    <t>PCI Level 1,2, 3</t>
  </si>
  <si>
    <t>Use PCI tracking log</t>
  </si>
  <si>
    <t>PCI Level 4</t>
  </si>
  <si>
    <t>Use Trustwave dashboard</t>
  </si>
  <si>
    <t>Mobile payments</t>
  </si>
  <si>
    <t>Validate Accept MIDs on Agency Listing, Update MID list on the Report, Pull the transaction count and dollar amount for each MID from the monthly Sales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</si>
  <si>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</si>
  <si>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</si>
  <si>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</si>
  <si>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</si>
  <si>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</si>
  <si>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</si>
  <si>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</si>
  <si>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</si>
  <si>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</si>
  <si>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</si>
  <si>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</si>
  <si>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</si>
  <si>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Do Not delete below</t>
  </si>
  <si>
    <t>VA 4445013716746, 4445013796409</t>
  </si>
  <si>
    <t>Fiscal 2016</t>
  </si>
  <si>
    <t>Average Total Transaction Fee</t>
  </si>
  <si>
    <t>FY2016 Total</t>
  </si>
  <si>
    <t>* based on interchange and network fees + 0.005 Tran Fee</t>
  </si>
  <si>
    <t>FY2017 Total</t>
  </si>
  <si>
    <t>Fiscal 2017</t>
  </si>
  <si>
    <t xml:space="preserve">FY2017 Avg Accts </t>
  </si>
  <si>
    <t>Do all for both Comerica and 53</t>
  </si>
  <si>
    <t xml:space="preserve">Comerica Sort by Interchange category - total Visa and MasterCard Debit + 53  Sort by Interchange category - total Visa and MasterCard Debit </t>
  </si>
  <si>
    <t xml:space="preserve">Comerica Monthly Sales Volume Sheet - "Monthly Credit Card Sales Amount" + 53 Monthly Sales Volume Sheet - "Monthly Credit Card Sales Amount" </t>
  </si>
  <si>
    <t>Comerica Monthly Sales Volume Sheet - "Monthly Credit Card Sales Count" + 53 Monthly Sales Volume Sheet - "Monthly Credit Card Sales Count"</t>
  </si>
  <si>
    <t>Comerica Monthly Sales Volume Sheet - "Monthly Debit Card Sales Amount" + 53  Monthly Sales Volume Sheet - "Monthly Debit Card Sales Amount"</t>
  </si>
  <si>
    <t>Comerica Monthly Sales Volume Sheet - "Monthly Debit Card Sales Count" + 53 Monthly Sales Volume Sheet - "Monthly Debit Card Sales Count"</t>
  </si>
  <si>
    <t>Fifth Third Bill - total of PIN debit interchange + Comerica Bill - total of PIN debit interchange</t>
  </si>
  <si>
    <t>Comerica Bill - Total for PIN on invoice minus the interchange cell from sections above + Fifth Third Bill - Total for PIN on invoice minus the interchange cell from sections above</t>
  </si>
  <si>
    <t>Discover Misc Fee from Discover Invoice + Fifth Third Bill  total of Network fees section +Fifth Third Bill Assesments - add back in intragovernmental deductions + Comerica Bill - subtract out VI ISA+VI IAF + MC Cross Border + MC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</si>
</sst>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#,##0;[Black]\-#,##0"/>
    <numFmt numFmtId="165" formatCode="&quot;$&quot;#,##0.00"/>
    <numFmt numFmtId="166" formatCode="0.0%"/>
    <numFmt numFmtId="167" formatCode="&quot;$&quot;#,##0"/>
    <numFmt numFmtId="168" formatCode="_(&quot;$&quot;* #,##0_);_(&quot;$&quot;* \(#,##0\);_(&quot;$&quot;* &quot;-&quot;??_);_(@_)"/>
    <numFmt numFmtId="169" formatCode="0.000%"/>
    <numFmt numFmtId="170" formatCode="&quot;$&quot;#,##0.000"/>
    <numFmt numFmtId="171" formatCode="_(* #,##0_);_(* \(#,##0\);_(* &quot;-&quot;??_);_(@_)"/>
    <numFmt numFmtId="172" formatCode="_(&quot;$&quot;* #,##0.000_);_(&quot;$&quot;* \(#,##0.0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</cellStyleXfs>
  <cellXfs count="240">
    <xf numFmtId="0" fontId="0" fillId="0" borderId="0" xfId="0"/>
    <xf numFmtId="17" fontId="4" fillId="0" borderId="0" xfId="0" quotePrefix="1" applyNumberFormat="1" applyFont="1"/>
    <xf numFmtId="2" fontId="6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wrapText="1"/>
    </xf>
    <xf numFmtId="0" fontId="7" fillId="0" borderId="0" xfId="0" applyFont="1"/>
    <xf numFmtId="0" fontId="6" fillId="0" borderId="0" xfId="0" applyFont="1"/>
    <xf numFmtId="2" fontId="6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17" fontId="7" fillId="0" borderId="1" xfId="0" applyNumberFormat="1" applyFont="1" applyBorder="1"/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17" fontId="7" fillId="0" borderId="1" xfId="0" applyNumberFormat="1" applyFont="1" applyFill="1" applyBorder="1"/>
    <xf numFmtId="0" fontId="6" fillId="0" borderId="1" xfId="0" applyFont="1" applyFill="1" applyBorder="1"/>
    <xf numFmtId="0" fontId="3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7" fillId="0" borderId="0" xfId="0" applyFont="1" applyFill="1"/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7" fillId="3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wrapText="1"/>
    </xf>
    <xf numFmtId="17" fontId="7" fillId="3" borderId="1" xfId="0" applyNumberFormat="1" applyFont="1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65" fontId="7" fillId="0" borderId="1" xfId="0" applyNumberFormat="1" applyFont="1" applyFill="1" applyBorder="1"/>
    <xf numFmtId="165" fontId="6" fillId="0" borderId="1" xfId="0" applyNumberFormat="1" applyFont="1" applyFill="1" applyBorder="1"/>
    <xf numFmtId="3" fontId="7" fillId="0" borderId="1" xfId="0" applyNumberFormat="1" applyFont="1" applyBorder="1"/>
    <xf numFmtId="165" fontId="7" fillId="3" borderId="1" xfId="0" applyNumberFormat="1" applyFont="1" applyFill="1" applyBorder="1"/>
    <xf numFmtId="165" fontId="6" fillId="3" borderId="1" xfId="0" applyNumberFormat="1" applyFont="1" applyFill="1" applyBorder="1"/>
    <xf numFmtId="0" fontId="3" fillId="5" borderId="0" xfId="0" applyFont="1" applyFill="1"/>
    <xf numFmtId="0" fontId="6" fillId="0" borderId="1" xfId="0" applyFont="1" applyBorder="1" applyAlignment="1">
      <alignment horizontal="center" wrapText="1"/>
    </xf>
    <xf numFmtId="166" fontId="7" fillId="0" borderId="1" xfId="0" applyNumberFormat="1" applyFont="1" applyFill="1" applyBorder="1"/>
    <xf numFmtId="166" fontId="6" fillId="0" borderId="1" xfId="0" applyNumberFormat="1" applyFont="1" applyFill="1" applyBorder="1"/>
    <xf numFmtId="164" fontId="6" fillId="0" borderId="1" xfId="0" applyNumberFormat="1" applyFont="1" applyBorder="1"/>
    <xf numFmtId="167" fontId="7" fillId="0" borderId="1" xfId="0" applyNumberFormat="1" applyFont="1" applyBorder="1"/>
    <xf numFmtId="167" fontId="6" fillId="0" borderId="1" xfId="0" applyNumberFormat="1" applyFont="1" applyBorder="1"/>
    <xf numFmtId="167" fontId="7" fillId="0" borderId="1" xfId="0" applyNumberFormat="1" applyFont="1" applyFill="1" applyBorder="1"/>
    <xf numFmtId="167" fontId="7" fillId="3" borderId="1" xfId="0" applyNumberFormat="1" applyFont="1" applyFill="1" applyBorder="1"/>
    <xf numFmtId="167" fontId="6" fillId="0" borderId="1" xfId="0" applyNumberFormat="1" applyFont="1" applyFill="1" applyBorder="1"/>
    <xf numFmtId="167" fontId="6" fillId="3" borderId="1" xfId="0" applyNumberFormat="1" applyFont="1" applyFill="1" applyBorder="1"/>
    <xf numFmtId="168" fontId="8" fillId="2" borderId="1" xfId="1" applyNumberFormat="1" applyFont="1" applyFill="1" applyBorder="1" applyAlignment="1">
      <alignment vertical="center"/>
    </xf>
    <xf numFmtId="168" fontId="7" fillId="0" borderId="1" xfId="1" applyNumberFormat="1" applyFont="1" applyBorder="1"/>
    <xf numFmtId="168" fontId="6" fillId="0" borderId="1" xfId="1" applyNumberFormat="1" applyFont="1" applyBorder="1"/>
    <xf numFmtId="166" fontId="7" fillId="0" borderId="0" xfId="0" applyNumberFormat="1" applyFont="1" applyFill="1" applyBorder="1"/>
    <xf numFmtId="166" fontId="6" fillId="0" borderId="0" xfId="0" applyNumberFormat="1" applyFont="1" applyFill="1" applyBorder="1"/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/>
    <xf numFmtId="2" fontId="6" fillId="3" borderId="1" xfId="0" applyNumberFormat="1" applyFont="1" applyFill="1" applyBorder="1" applyAlignment="1">
      <alignment horizontal="center" wrapText="1"/>
    </xf>
    <xf numFmtId="166" fontId="7" fillId="3" borderId="1" xfId="0" applyNumberFormat="1" applyFont="1" applyFill="1" applyBorder="1"/>
    <xf numFmtId="2" fontId="6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3" fontId="7" fillId="0" borderId="1" xfId="0" applyNumberFormat="1" applyFont="1" applyBorder="1" applyAlignment="1"/>
    <xf numFmtId="0" fontId="10" fillId="0" borderId="0" xfId="0" applyFont="1" applyFill="1"/>
    <xf numFmtId="42" fontId="8" fillId="2" borderId="1" xfId="1" applyNumberFormat="1" applyFont="1" applyFill="1" applyBorder="1" applyAlignment="1">
      <alignment vertical="center"/>
    </xf>
    <xf numFmtId="42" fontId="7" fillId="0" borderId="1" xfId="1" applyNumberFormat="1" applyFont="1" applyBorder="1"/>
    <xf numFmtId="42" fontId="6" fillId="0" borderId="1" xfId="1" applyNumberFormat="1" applyFont="1" applyBorder="1"/>
    <xf numFmtId="3" fontId="6" fillId="0" borderId="1" xfId="0" applyNumberFormat="1" applyFont="1" applyBorder="1" applyAlignment="1"/>
    <xf numFmtId="0" fontId="6" fillId="0" borderId="1" xfId="0" applyFont="1" applyFill="1" applyBorder="1" applyAlignment="1">
      <alignment horizontal="center" wrapText="1"/>
    </xf>
    <xf numFmtId="167" fontId="6" fillId="0" borderId="1" xfId="0" applyNumberFormat="1" applyFont="1" applyBorder="1" applyAlignment="1"/>
    <xf numFmtId="169" fontId="7" fillId="0" borderId="1" xfId="0" applyNumberFormat="1" applyFont="1" applyFill="1" applyBorder="1"/>
    <xf numFmtId="169" fontId="6" fillId="0" borderId="1" xfId="0" applyNumberFormat="1" applyFont="1" applyFill="1" applyBorder="1"/>
    <xf numFmtId="169" fontId="0" fillId="0" borderId="0" xfId="0" applyNumberFormat="1"/>
    <xf numFmtId="169" fontId="3" fillId="0" borderId="0" xfId="0" applyNumberFormat="1" applyFont="1"/>
    <xf numFmtId="0" fontId="0" fillId="0" borderId="0" xfId="0" applyAlignment="1"/>
    <xf numFmtId="17" fontId="4" fillId="0" borderId="0" xfId="0" applyNumberFormat="1" applyFont="1" applyAlignment="1">
      <alignment horizontal="center"/>
    </xf>
    <xf numFmtId="0" fontId="6" fillId="6" borderId="1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6" fillId="0" borderId="1" xfId="0" applyNumberFormat="1" applyFont="1" applyFill="1" applyBorder="1"/>
    <xf numFmtId="166" fontId="6" fillId="3" borderId="1" xfId="0" applyNumberFormat="1" applyFont="1" applyFill="1" applyBorder="1"/>
    <xf numFmtId="167" fontId="6" fillId="0" borderId="0" xfId="0" applyNumberFormat="1" applyFont="1" applyBorder="1"/>
    <xf numFmtId="3" fontId="6" fillId="0" borderId="0" xfId="0" applyNumberFormat="1" applyFont="1" applyBorder="1" applyAlignment="1"/>
    <xf numFmtId="167" fontId="7" fillId="6" borderId="1" xfId="0" applyNumberFormat="1" applyFont="1" applyFill="1" applyBorder="1"/>
    <xf numFmtId="167" fontId="6" fillId="6" borderId="1" xfId="0" applyNumberFormat="1" applyFont="1" applyFill="1" applyBorder="1"/>
    <xf numFmtId="0" fontId="11" fillId="0" borderId="0" xfId="0" applyFont="1" applyBorder="1"/>
    <xf numFmtId="0" fontId="11" fillId="0" borderId="0" xfId="0" applyFont="1" applyFill="1"/>
    <xf numFmtId="167" fontId="7" fillId="3" borderId="1" xfId="0" applyNumberFormat="1" applyFont="1" applyFill="1" applyBorder="1"/>
    <xf numFmtId="0" fontId="7" fillId="0" borderId="0" xfId="0" applyFont="1" applyFill="1" applyBorder="1"/>
    <xf numFmtId="44" fontId="6" fillId="0" borderId="0" xfId="0" applyNumberFormat="1" applyFont="1" applyBorder="1"/>
    <xf numFmtId="164" fontId="6" fillId="0" borderId="0" xfId="0" applyNumberFormat="1" applyFont="1" applyBorder="1"/>
    <xf numFmtId="165" fontId="8" fillId="2" borderId="1" xfId="0" applyNumberFormat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165" fontId="6" fillId="0" borderId="0" xfId="0" applyNumberFormat="1" applyFont="1" applyFill="1" applyBorder="1"/>
    <xf numFmtId="0" fontId="6" fillId="3" borderId="0" xfId="0" applyFont="1" applyFill="1" applyBorder="1"/>
    <xf numFmtId="170" fontId="7" fillId="0" borderId="1" xfId="0" applyNumberFormat="1" applyFont="1" applyFill="1" applyBorder="1"/>
    <xf numFmtId="170" fontId="6" fillId="0" borderId="1" xfId="0" applyNumberFormat="1" applyFont="1" applyFill="1" applyBorder="1"/>
    <xf numFmtId="165" fontId="7" fillId="3" borderId="1" xfId="0" applyNumberFormat="1" applyFont="1" applyFill="1" applyBorder="1"/>
    <xf numFmtId="165" fontId="6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17" fontId="4" fillId="0" borderId="0" xfId="0" quotePrefix="1" applyNumberFormat="1" applyFont="1" applyAlignment="1">
      <alignment horizontal="center"/>
    </xf>
    <xf numFmtId="0" fontId="0" fillId="0" borderId="0" xfId="0" applyAlignment="1"/>
    <xf numFmtId="17" fontId="4" fillId="0" borderId="0" xfId="0" quotePrefix="1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67" fontId="7" fillId="7" borderId="1" xfId="0" applyNumberFormat="1" applyFont="1" applyFill="1" applyBorder="1"/>
    <xf numFmtId="166" fontId="7" fillId="7" borderId="1" xfId="0" applyNumberFormat="1" applyFont="1" applyFill="1" applyBorder="1"/>
    <xf numFmtId="166" fontId="6" fillId="7" borderId="1" xfId="0" applyNumberFormat="1" applyFont="1" applyFill="1" applyBorder="1"/>
    <xf numFmtId="170" fontId="6" fillId="7" borderId="1" xfId="0" applyNumberFormat="1" applyFont="1" applyFill="1" applyBorder="1"/>
    <xf numFmtId="17" fontId="4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17" fontId="4" fillId="0" borderId="0" xfId="0" quotePrefix="1" applyNumberFormat="1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0" fillId="0" borderId="0" xfId="0" applyAlignment="1"/>
    <xf numFmtId="17" fontId="4" fillId="0" borderId="0" xfId="0" applyNumberFormat="1" applyFont="1" applyAlignment="1">
      <alignment horizontal="center"/>
    </xf>
    <xf numFmtId="2" fontId="6" fillId="8" borderId="1" xfId="0" applyNumberFormat="1" applyFont="1" applyFill="1" applyBorder="1" applyAlignment="1">
      <alignment horizontal="center" wrapText="1"/>
    </xf>
    <xf numFmtId="166" fontId="7" fillId="8" borderId="1" xfId="0" applyNumberFormat="1" applyFont="1" applyFill="1" applyBorder="1"/>
    <xf numFmtId="0" fontId="6" fillId="0" borderId="6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/>
    <xf numFmtId="3" fontId="6" fillId="0" borderId="0" xfId="0" applyNumberFormat="1" applyFont="1" applyBorder="1" applyAlignment="1">
      <alignment horizontal="right"/>
    </xf>
    <xf numFmtId="165" fontId="0" fillId="0" borderId="0" xfId="0" applyNumberFormat="1" applyFill="1"/>
    <xf numFmtId="0" fontId="0" fillId="0" borderId="0" xfId="0" applyAlignment="1"/>
    <xf numFmtId="17" fontId="4" fillId="0" borderId="0" xfId="0" quotePrefix="1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17" fontId="4" fillId="0" borderId="0" xfId="0" quotePrefix="1" applyNumberFormat="1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17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17" fontId="7" fillId="0" borderId="0" xfId="0" applyNumberFormat="1" applyFont="1" applyBorder="1"/>
    <xf numFmtId="3" fontId="7" fillId="0" borderId="0" xfId="0" applyNumberFormat="1" applyFont="1" applyBorder="1" applyAlignment="1"/>
    <xf numFmtId="3" fontId="7" fillId="0" borderId="0" xfId="0" applyNumberFormat="1" applyFont="1" applyFill="1" applyBorder="1"/>
    <xf numFmtId="166" fontId="0" fillId="0" borderId="0" xfId="0" applyNumberFormat="1" applyBorder="1" applyAlignment="1"/>
    <xf numFmtId="0" fontId="0" fillId="0" borderId="0" xfId="0" applyBorder="1" applyAlignment="1"/>
    <xf numFmtId="3" fontId="6" fillId="8" borderId="1" xfId="0" applyNumberFormat="1" applyFont="1" applyFill="1" applyBorder="1" applyAlignment="1"/>
    <xf numFmtId="0" fontId="6" fillId="0" borderId="1" xfId="0" applyFont="1" applyBorder="1" applyAlignment="1">
      <alignment horizontal="center"/>
    </xf>
    <xf numFmtId="9" fontId="6" fillId="0" borderId="1" xfId="0" applyNumberFormat="1" applyFont="1" applyFill="1" applyBorder="1"/>
    <xf numFmtId="0" fontId="0" fillId="0" borderId="0" xfId="0" applyFill="1" applyBorder="1" applyAlignment="1"/>
    <xf numFmtId="0" fontId="14" fillId="0" borderId="6" xfId="0" applyFont="1" applyFill="1" applyBorder="1" applyAlignment="1">
      <alignment horizontal="center" wrapText="1"/>
    </xf>
    <xf numFmtId="17" fontId="4" fillId="0" borderId="0" xfId="0" applyNumberFormat="1" applyFont="1" applyAlignment="1">
      <alignment horizontal="center"/>
    </xf>
    <xf numFmtId="0" fontId="0" fillId="0" borderId="0" xfId="0" applyAlignment="1"/>
    <xf numFmtId="17" fontId="4" fillId="0" borderId="0" xfId="0" quotePrefix="1" applyNumberFormat="1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0" fillId="0" borderId="0" xfId="0" applyNumberFormat="1" applyBorder="1" applyAlignment="1"/>
    <xf numFmtId="3" fontId="7" fillId="0" borderId="1" xfId="0" applyNumberFormat="1" applyFont="1" applyFill="1" applyBorder="1" applyAlignment="1"/>
    <xf numFmtId="3" fontId="7" fillId="0" borderId="1" xfId="0" applyNumberFormat="1" applyFont="1" applyFill="1" applyBorder="1" applyAlignment="1"/>
    <xf numFmtId="0" fontId="6" fillId="0" borderId="1" xfId="0" applyFont="1" applyBorder="1" applyAlignment="1">
      <alignment horizontal="center"/>
    </xf>
    <xf numFmtId="3" fontId="7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166" fontId="0" fillId="0" borderId="0" xfId="0" applyNumberFormat="1" applyBorder="1" applyAlignment="1"/>
    <xf numFmtId="17" fontId="4" fillId="0" borderId="0" xfId="0" applyNumberFormat="1" applyFont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17" fontId="4" fillId="0" borderId="0" xfId="0" quotePrefix="1" applyNumberFormat="1" applyFont="1" applyAlignment="1">
      <alignment horizontal="center"/>
    </xf>
    <xf numFmtId="17" fontId="3" fillId="0" borderId="0" xfId="0" applyNumberFormat="1" applyFont="1"/>
    <xf numFmtId="168" fontId="8" fillId="2" borderId="1" xfId="1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wrapText="1"/>
    </xf>
    <xf numFmtId="0" fontId="0" fillId="0" borderId="0" xfId="0" applyAlignment="1"/>
    <xf numFmtId="17" fontId="4" fillId="0" borderId="0" xfId="0" quotePrefix="1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0" fillId="0" borderId="0" xfId="0" applyNumberFormat="1" applyBorder="1" applyAlignment="1"/>
    <xf numFmtId="3" fontId="7" fillId="0" borderId="1" xfId="0" applyNumberFormat="1" applyFont="1" applyFill="1" applyBorder="1" applyAlignment="1"/>
    <xf numFmtId="44" fontId="0" fillId="0" borderId="1" xfId="1" applyFont="1" applyBorder="1"/>
    <xf numFmtId="171" fontId="0" fillId="0" borderId="1" xfId="2" applyNumberFormat="1" applyFont="1" applyBorder="1"/>
    <xf numFmtId="164" fontId="0" fillId="0" borderId="1" xfId="0" applyNumberFormat="1" applyBorder="1"/>
    <xf numFmtId="44" fontId="8" fillId="2" borderId="1" xfId="1" applyFont="1" applyFill="1" applyBorder="1" applyAlignment="1">
      <alignment vertical="center"/>
    </xf>
    <xf numFmtId="44" fontId="8" fillId="2" borderId="1" xfId="1" applyFont="1" applyFill="1" applyBorder="1" applyAlignment="1">
      <alignment vertical="center" wrapText="1"/>
    </xf>
    <xf numFmtId="44" fontId="6" fillId="0" borderId="1" xfId="1" applyFont="1" applyBorder="1"/>
    <xf numFmtId="44" fontId="7" fillId="0" borderId="1" xfId="1" applyFont="1" applyBorder="1"/>
    <xf numFmtId="0" fontId="6" fillId="0" borderId="1" xfId="0" applyFont="1" applyFill="1" applyBorder="1" applyAlignment="1">
      <alignment horizontal="center"/>
    </xf>
    <xf numFmtId="167" fontId="7" fillId="7" borderId="1" xfId="0" applyNumberFormat="1" applyFont="1" applyFill="1" applyBorder="1" applyAlignment="1">
      <alignment wrapText="1"/>
    </xf>
    <xf numFmtId="0" fontId="0" fillId="0" borderId="0" xfId="0"/>
    <xf numFmtId="0" fontId="5" fillId="0" borderId="0" xfId="0" applyFont="1" applyFill="1"/>
    <xf numFmtId="172" fontId="7" fillId="0" borderId="1" xfId="1" applyNumberFormat="1" applyFont="1" applyFill="1" applyBorder="1" applyAlignment="1">
      <alignment horizontal="right"/>
    </xf>
    <xf numFmtId="172" fontId="7" fillId="0" borderId="1" xfId="0" applyNumberFormat="1" applyFont="1" applyFill="1" applyBorder="1"/>
    <xf numFmtId="0" fontId="1" fillId="0" borderId="0" xfId="0" applyFont="1" applyFill="1" applyBorder="1" applyAlignment="1">
      <alignment wrapText="1"/>
    </xf>
    <xf numFmtId="0" fontId="9" fillId="4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3" fontId="7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166" fontId="0" fillId="0" borderId="0" xfId="0" applyNumberFormat="1" applyBorder="1" applyAlignment="1"/>
    <xf numFmtId="17" fontId="4" fillId="0" borderId="0" xfId="0" applyNumberFormat="1" applyFont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17" fontId="4" fillId="0" borderId="0" xfId="0" quotePrefix="1" applyNumberFormat="1" applyFont="1" applyAlignment="1">
      <alignment horizontal="center"/>
    </xf>
    <xf numFmtId="0" fontId="7" fillId="0" borderId="1" xfId="0" applyNumberFormat="1" applyFont="1" applyFill="1" applyBorder="1"/>
    <xf numFmtId="3" fontId="7" fillId="0" borderId="1" xfId="0" applyNumberFormat="1" applyFont="1" applyFill="1" applyBorder="1" applyAlignment="1"/>
    <xf numFmtId="44" fontId="7" fillId="0" borderId="1" xfId="1" applyFont="1" applyFill="1" applyBorder="1"/>
    <xf numFmtId="43" fontId="4" fillId="0" borderId="0" xfId="2" quotePrefix="1" applyFont="1" applyAlignment="1">
      <alignment horizontal="center"/>
    </xf>
    <xf numFmtId="168" fontId="7" fillId="0" borderId="1" xfId="1" applyNumberFormat="1" applyFont="1" applyFill="1" applyBorder="1"/>
    <xf numFmtId="44" fontId="8" fillId="2" borderId="1" xfId="1" applyNumberFormat="1" applyFont="1" applyFill="1" applyBorder="1" applyAlignment="1">
      <alignment vertical="center"/>
    </xf>
    <xf numFmtId="44" fontId="7" fillId="7" borderId="1" xfId="1" applyFont="1" applyFill="1" applyBorder="1" applyAlignment="1">
      <alignment wrapText="1"/>
    </xf>
    <xf numFmtId="44" fontId="7" fillId="7" borderId="1" xfId="1" applyFont="1" applyFill="1" applyBorder="1"/>
    <xf numFmtId="0" fontId="1" fillId="0" borderId="0" xfId="0" applyFont="1" applyAlignment="1">
      <alignment wrapText="1"/>
    </xf>
    <xf numFmtId="44" fontId="7" fillId="0" borderId="1" xfId="0" applyNumberFormat="1" applyFont="1" applyFill="1" applyBorder="1"/>
    <xf numFmtId="44" fontId="7" fillId="0" borderId="1" xfId="0" applyNumberFormat="1" applyFont="1" applyBorder="1"/>
    <xf numFmtId="44" fontId="7" fillId="7" borderId="1" xfId="0" applyNumberFormat="1" applyFont="1" applyFill="1" applyBorder="1"/>
    <xf numFmtId="1" fontId="7" fillId="0" borderId="1" xfId="0" applyNumberFormat="1" applyFont="1" applyFill="1" applyBorder="1"/>
    <xf numFmtId="0" fontId="6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17" fontId="4" fillId="0" borderId="0" xfId="0" quotePrefix="1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right"/>
    </xf>
    <xf numFmtId="166" fontId="0" fillId="0" borderId="0" xfId="0" applyNumberFormat="1" applyBorder="1" applyAlignment="1"/>
    <xf numFmtId="0" fontId="6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9" fontId="0" fillId="0" borderId="1" xfId="0" applyNumberFormat="1" applyBorder="1" applyAlignment="1"/>
    <xf numFmtId="166" fontId="3" fillId="0" borderId="0" xfId="0" applyNumberFormat="1" applyFont="1" applyBorder="1" applyAlignment="1"/>
    <xf numFmtId="0" fontId="0" fillId="0" borderId="1" xfId="0" applyBorder="1" applyAlignment="1"/>
    <xf numFmtId="0" fontId="6" fillId="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7" fillId="0" borderId="1" xfId="0" applyNumberFormat="1" applyFont="1" applyFill="1" applyBorder="1" applyAlignment="1"/>
    <xf numFmtId="0" fontId="6" fillId="0" borderId="7" xfId="0" applyFont="1" applyBorder="1" applyAlignment="1">
      <alignment horizontal="center" wrapText="1"/>
    </xf>
    <xf numFmtId="0" fontId="0" fillId="0" borderId="8" xfId="0" applyBorder="1" applyAlignment="1"/>
    <xf numFmtId="17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6" fontId="0" fillId="0" borderId="1" xfId="0" applyNumberFormat="1" applyBorder="1" applyAlignment="1"/>
    <xf numFmtId="0" fontId="3" fillId="3" borderId="3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7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Ticket
FY2017 Trend</a:t>
            </a:r>
          </a:p>
        </c:rich>
      </c:tx>
      <c:layout>
        <c:manualLayout>
          <c:xMode val="edge"/>
          <c:yMode val="edge"/>
          <c:x val="0.28236961556967244"/>
          <c:y val="4.2416130986108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076923076924"/>
          <c:y val="0.30633802816901823"/>
          <c:w val="0.74291497975708498"/>
          <c:h val="0.3873239436619774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'FY2015'!$B$42:$B$53</c:f>
              <c:numCache>
                <c:formatCode>"$"#,##0.00</c:formatCode>
                <c:ptCount val="12"/>
                <c:pt idx="0">
                  <c:v>104.92466727771165</c:v>
                </c:pt>
                <c:pt idx="1">
                  <c:v>103.64268881654557</c:v>
                </c:pt>
                <c:pt idx="2">
                  <c:v>107.09134824305411</c:v>
                </c:pt>
                <c:pt idx="3">
                  <c:v>101.81282528712825</c:v>
                </c:pt>
                <c:pt idx="4">
                  <c:v>99.766985090083239</c:v>
                </c:pt>
                <c:pt idx="5">
                  <c:v>97.622069118943386</c:v>
                </c:pt>
                <c:pt idx="6">
                  <c:v>99.389354733851306</c:v>
                </c:pt>
                <c:pt idx="7">
                  <c:v>100.87750978859161</c:v>
                </c:pt>
                <c:pt idx="8">
                  <c:v>99.539863546068219</c:v>
                </c:pt>
                <c:pt idx="9">
                  <c:v>97.630480619166036</c:v>
                </c:pt>
                <c:pt idx="10">
                  <c:v>102.60333088925887</c:v>
                </c:pt>
                <c:pt idx="11">
                  <c:v>102.34502112722245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'FY2014'!$B$42:$B$53</c:f>
              <c:numCache>
                <c:formatCode>"$"#,##0.00</c:formatCode>
                <c:ptCount val="12"/>
                <c:pt idx="0">
                  <c:v>112.23421908818668</c:v>
                </c:pt>
                <c:pt idx="1">
                  <c:v>111.39053428702444</c:v>
                </c:pt>
                <c:pt idx="2">
                  <c:v>111.85412681270316</c:v>
                </c:pt>
                <c:pt idx="3">
                  <c:v>104.57913072601082</c:v>
                </c:pt>
                <c:pt idx="4">
                  <c:v>103.83446638347225</c:v>
                </c:pt>
                <c:pt idx="5">
                  <c:v>101.75635327489542</c:v>
                </c:pt>
                <c:pt idx="6">
                  <c:v>102.45078553850659</c:v>
                </c:pt>
                <c:pt idx="7">
                  <c:v>104.86605203808195</c:v>
                </c:pt>
                <c:pt idx="8">
                  <c:v>103.99235626087902</c:v>
                </c:pt>
                <c:pt idx="9">
                  <c:v>103.50197506827934</c:v>
                </c:pt>
                <c:pt idx="10">
                  <c:v>108.77887182144079</c:v>
                </c:pt>
                <c:pt idx="11">
                  <c:v>105.25311042622415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'FY2013'!$B$42:$B$53</c:f>
              <c:numCache>
                <c:formatCode>"$"#,##0.00</c:formatCode>
                <c:ptCount val="12"/>
                <c:pt idx="0">
                  <c:v>108.73950024273563</c:v>
                </c:pt>
                <c:pt idx="1">
                  <c:v>109.75460323633641</c:v>
                </c:pt>
                <c:pt idx="2">
                  <c:v>112.83830492231093</c:v>
                </c:pt>
                <c:pt idx="3">
                  <c:v>108.13076362160129</c:v>
                </c:pt>
                <c:pt idx="4">
                  <c:v>104.00862529742373</c:v>
                </c:pt>
                <c:pt idx="5">
                  <c:v>103.7889000892815</c:v>
                </c:pt>
                <c:pt idx="6">
                  <c:v>101.77304704039832</c:v>
                </c:pt>
                <c:pt idx="7">
                  <c:v>107.4334113771756</c:v>
                </c:pt>
                <c:pt idx="8">
                  <c:v>105.27192882490488</c:v>
                </c:pt>
                <c:pt idx="9">
                  <c:v>107.33458130784473</c:v>
                </c:pt>
                <c:pt idx="10">
                  <c:v>109.20263289537816</c:v>
                </c:pt>
                <c:pt idx="11">
                  <c:v>110.51389658049433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'FY2012'!$B$50:$B$61</c:f>
              <c:numCache>
                <c:formatCode>"$"#,##0.00</c:formatCode>
                <c:ptCount val="12"/>
                <c:pt idx="0">
                  <c:v>104.87587176416146</c:v>
                </c:pt>
                <c:pt idx="1">
                  <c:v>109.2566506558461</c:v>
                </c:pt>
                <c:pt idx="2">
                  <c:v>110.95790560242735</c:v>
                </c:pt>
                <c:pt idx="3">
                  <c:v>102.89695577184769</c:v>
                </c:pt>
                <c:pt idx="4">
                  <c:v>102.1088657087537</c:v>
                </c:pt>
                <c:pt idx="5">
                  <c:v>101.74116735632047</c:v>
                </c:pt>
                <c:pt idx="6">
                  <c:v>100.43686669052492</c:v>
                </c:pt>
                <c:pt idx="7">
                  <c:v>101.44484342424789</c:v>
                </c:pt>
                <c:pt idx="8">
                  <c:v>104.31766663771906</c:v>
                </c:pt>
                <c:pt idx="9">
                  <c:v>101.48431555141299</c:v>
                </c:pt>
                <c:pt idx="10">
                  <c:v>106.13461639796768</c:v>
                </c:pt>
                <c:pt idx="11">
                  <c:v>108.00339959458545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'FY2011'!$B$51:$B$62</c:f>
              <c:numCache>
                <c:formatCode>"$"#,##0.00</c:formatCode>
                <c:ptCount val="12"/>
                <c:pt idx="0">
                  <c:v>117.94980015050862</c:v>
                </c:pt>
                <c:pt idx="1">
                  <c:v>108.14084366073983</c:v>
                </c:pt>
                <c:pt idx="2">
                  <c:v>116.75032527006751</c:v>
                </c:pt>
                <c:pt idx="3">
                  <c:v>104.64912960165499</c:v>
                </c:pt>
                <c:pt idx="4">
                  <c:v>103.17269576832263</c:v>
                </c:pt>
                <c:pt idx="5">
                  <c:v>103.34002475839274</c:v>
                </c:pt>
                <c:pt idx="6">
                  <c:v>108.58253865644565</c:v>
                </c:pt>
                <c:pt idx="7">
                  <c:v>107.75404068824753</c:v>
                </c:pt>
                <c:pt idx="8">
                  <c:v>109.49560837238501</c:v>
                </c:pt>
                <c:pt idx="9">
                  <c:v>106.39337916436747</c:v>
                </c:pt>
                <c:pt idx="10">
                  <c:v>103.10412311822802</c:v>
                </c:pt>
                <c:pt idx="11">
                  <c:v>107.68393004049138</c:v>
                </c:pt>
              </c:numCache>
            </c:numRef>
          </c:val>
          <c:smooth val="0"/>
        </c:ser>
        <c:ser>
          <c:idx val="5"/>
          <c:order val="5"/>
          <c:tx>
            <c:v>Credit 2016</c:v>
          </c:tx>
          <c:val>
            <c:numRef>
              <c:f>'FY2016'!$B$42:$B$53</c:f>
              <c:numCache>
                <c:formatCode>"$"#,##0.00</c:formatCode>
                <c:ptCount val="12"/>
                <c:pt idx="0">
                  <c:v>103.502998427907</c:v>
                </c:pt>
                <c:pt idx="1">
                  <c:v>102.06578842403519</c:v>
                </c:pt>
                <c:pt idx="2">
                  <c:v>107.19663462576568</c:v>
                </c:pt>
                <c:pt idx="3">
                  <c:v>102.17303799135311</c:v>
                </c:pt>
                <c:pt idx="4">
                  <c:v>97.772858986807137</c:v>
                </c:pt>
                <c:pt idx="5">
                  <c:v>96.887179218948134</c:v>
                </c:pt>
                <c:pt idx="6">
                  <c:v>103.46512674212799</c:v>
                </c:pt>
                <c:pt idx="7">
                  <c:v>98.280466423058414</c:v>
                </c:pt>
                <c:pt idx="8">
                  <c:v>99.766849223744344</c:v>
                </c:pt>
                <c:pt idx="9">
                  <c:v>99.035840427676973</c:v>
                </c:pt>
                <c:pt idx="10">
                  <c:v>98.108468129143532</c:v>
                </c:pt>
                <c:pt idx="11">
                  <c:v>103.95929826941398</c:v>
                </c:pt>
              </c:numCache>
            </c:numRef>
          </c:val>
          <c:smooth val="0"/>
        </c:ser>
        <c:ser>
          <c:idx val="6"/>
          <c:order val="6"/>
          <c:tx>
            <c:v>Credit 2017</c:v>
          </c:tx>
          <c:val>
            <c:numRef>
              <c:f>'FY2017'!$B$42:$B$53</c:f>
              <c:numCache>
                <c:formatCode>_("$"* #,##0.00_);_("$"* \(#,##0.00\);_("$"* "-"??_);_(@_)</c:formatCode>
                <c:ptCount val="12"/>
                <c:pt idx="0">
                  <c:v>102.01062014346545</c:v>
                </c:pt>
                <c:pt idx="1">
                  <c:v>109.25779266351825</c:v>
                </c:pt>
                <c:pt idx="2">
                  <c:v>111.84384111985629</c:v>
                </c:pt>
                <c:pt idx="3">
                  <c:v>100.47154397219168</c:v>
                </c:pt>
                <c:pt idx="4">
                  <c:v>98.912688383341361</c:v>
                </c:pt>
                <c:pt idx="5">
                  <c:v>99.628798012864195</c:v>
                </c:pt>
                <c:pt idx="6">
                  <c:v>100.32152926203757</c:v>
                </c:pt>
                <c:pt idx="7">
                  <c:v>99.24618455986996</c:v>
                </c:pt>
                <c:pt idx="8">
                  <c:v>98.268811486674636</c:v>
                </c:pt>
                <c:pt idx="9" formatCode="&quot;$&quot;#,##0.00">
                  <c:v>95.479800984272899</c:v>
                </c:pt>
                <c:pt idx="10" formatCode="&quot;$&quot;#,##0.00">
                  <c:v>0</c:v>
                </c:pt>
                <c:pt idx="11" formatCode="&quot;$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61568"/>
        <c:axId val="78463360"/>
      </c:lineChart>
      <c:dateAx>
        <c:axId val="784615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463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8463360"/>
        <c:scaling>
          <c:orientation val="minMax"/>
          <c:max val="120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69696969739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461568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499325730165451E-2"/>
          <c:y val="0.85466403548191761"/>
          <c:w val="0.90292568418641928"/>
          <c:h val="0.14533618959394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 Cost Per Transaction
FY2017 Trend</a:t>
            </a:r>
          </a:p>
        </c:rich>
      </c:tx>
      <c:layout>
        <c:manualLayout>
          <c:xMode val="edge"/>
          <c:yMode val="edge"/>
          <c:x val="0.31325301204819223"/>
          <c:y val="3.6630074525356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460536442200781"/>
          <c:w val="0.80971659919028338"/>
          <c:h val="0.3931534354749168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'FY2015'!$B$111:$B$122</c:f>
              <c:numCache>
                <c:formatCode>"$"#,##0.00</c:formatCode>
                <c:ptCount val="12"/>
                <c:pt idx="0">
                  <c:v>1.7425857944483383</c:v>
                </c:pt>
                <c:pt idx="1">
                  <c:v>1.6972236002124377</c:v>
                </c:pt>
                <c:pt idx="2">
                  <c:v>1.7380502347681444</c:v>
                </c:pt>
                <c:pt idx="3">
                  <c:v>1.6316404017294175</c:v>
                </c:pt>
                <c:pt idx="4">
                  <c:v>1.5827885185284665</c:v>
                </c:pt>
                <c:pt idx="5">
                  <c:v>1.5746962885200244</c:v>
                </c:pt>
                <c:pt idx="6">
                  <c:v>1.6569268908644719</c:v>
                </c:pt>
                <c:pt idx="7">
                  <c:v>1.6811977086097731</c:v>
                </c:pt>
                <c:pt idx="8">
                  <c:v>1.6541467078716525</c:v>
                </c:pt>
                <c:pt idx="9">
                  <c:v>1.6343373678807964</c:v>
                </c:pt>
                <c:pt idx="10">
                  <c:v>1.6988858992968612</c:v>
                </c:pt>
                <c:pt idx="11">
                  <c:v>1.7126530249656031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'FY2014'!$B$111:$B$122</c:f>
              <c:numCache>
                <c:formatCode>"$"#,##0.00</c:formatCode>
                <c:ptCount val="12"/>
                <c:pt idx="0">
                  <c:v>1.8246882156482722</c:v>
                </c:pt>
                <c:pt idx="1">
                  <c:v>1.781277932788107</c:v>
                </c:pt>
                <c:pt idx="2">
                  <c:v>1.8042151417354886</c:v>
                </c:pt>
                <c:pt idx="3">
                  <c:v>1.6672149302927084</c:v>
                </c:pt>
                <c:pt idx="4">
                  <c:v>1.6311081526877691</c:v>
                </c:pt>
                <c:pt idx="5">
                  <c:v>1.5954719165948072</c:v>
                </c:pt>
                <c:pt idx="6">
                  <c:v>1.6537493752989405</c:v>
                </c:pt>
                <c:pt idx="7">
                  <c:v>1.703822263895953</c:v>
                </c:pt>
                <c:pt idx="8">
                  <c:v>1.6974769310269802</c:v>
                </c:pt>
                <c:pt idx="9">
                  <c:v>1.6312560476663103</c:v>
                </c:pt>
                <c:pt idx="10">
                  <c:v>1.8566014682638179</c:v>
                </c:pt>
                <c:pt idx="11">
                  <c:v>1.6819325850253344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'FY2013'!$B$111:$B$122</c:f>
              <c:numCache>
                <c:formatCode>"$"#,##0.00</c:formatCode>
                <c:ptCount val="12"/>
                <c:pt idx="0">
                  <c:v>1.7159501721368904</c:v>
                </c:pt>
                <c:pt idx="1">
                  <c:v>1.8778543648611281</c:v>
                </c:pt>
                <c:pt idx="2">
                  <c:v>1.9204200089145527</c:v>
                </c:pt>
                <c:pt idx="3">
                  <c:v>1.8671037735953127</c:v>
                </c:pt>
                <c:pt idx="4">
                  <c:v>1.7733051655840182</c:v>
                </c:pt>
                <c:pt idx="5">
                  <c:v>1.7696216851515925</c:v>
                </c:pt>
                <c:pt idx="6">
                  <c:v>1.8451038878691006</c:v>
                </c:pt>
                <c:pt idx="7">
                  <c:v>1.8436431003739613</c:v>
                </c:pt>
                <c:pt idx="8">
                  <c:v>1.822458092223022</c:v>
                </c:pt>
                <c:pt idx="9">
                  <c:v>1.8609606337600413</c:v>
                </c:pt>
                <c:pt idx="10">
                  <c:v>1.8116856830922654</c:v>
                </c:pt>
                <c:pt idx="11">
                  <c:v>1.914673422569906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'FY2012'!$B$119:$B$130</c:f>
              <c:numCache>
                <c:formatCode>"$"#,##0.00</c:formatCode>
                <c:ptCount val="12"/>
                <c:pt idx="0">
                  <c:v>1.7303298030823877</c:v>
                </c:pt>
                <c:pt idx="1">
                  <c:v>1.8073209239807644</c:v>
                </c:pt>
                <c:pt idx="2">
                  <c:v>1.8300065768800617</c:v>
                </c:pt>
                <c:pt idx="3">
                  <c:v>1.6932617377718975</c:v>
                </c:pt>
                <c:pt idx="4">
                  <c:v>1.654120176908183</c:v>
                </c:pt>
                <c:pt idx="5">
                  <c:v>1.6592068196265866</c:v>
                </c:pt>
                <c:pt idx="6">
                  <c:v>1.6764331686596075</c:v>
                </c:pt>
                <c:pt idx="7">
                  <c:v>1.7323417243415151</c:v>
                </c:pt>
                <c:pt idx="8">
                  <c:v>1.7837040059828793</c:v>
                </c:pt>
                <c:pt idx="9">
                  <c:v>1.7426475354927007</c:v>
                </c:pt>
                <c:pt idx="10">
                  <c:v>1.8272657571950719</c:v>
                </c:pt>
                <c:pt idx="11">
                  <c:v>1.8570606135614309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'FY2011'!$B$120:$B$131</c:f>
              <c:numCache>
                <c:formatCode>"$"#,##0.00</c:formatCode>
                <c:ptCount val="12"/>
                <c:pt idx="0">
                  <c:v>2.0912740047499661</c:v>
                </c:pt>
                <c:pt idx="1">
                  <c:v>1.883362553413402</c:v>
                </c:pt>
                <c:pt idx="2">
                  <c:v>2.0423524865351421</c:v>
                </c:pt>
                <c:pt idx="3">
                  <c:v>1.8067210364580983</c:v>
                </c:pt>
                <c:pt idx="4">
                  <c:v>1.7727786871705264</c:v>
                </c:pt>
                <c:pt idx="5">
                  <c:v>1.8015620410346795</c:v>
                </c:pt>
                <c:pt idx="6">
                  <c:v>1.9172412339342038</c:v>
                </c:pt>
                <c:pt idx="7">
                  <c:v>1.9014877820803844</c:v>
                </c:pt>
                <c:pt idx="8">
                  <c:v>1.9587075535259311</c:v>
                </c:pt>
                <c:pt idx="9">
                  <c:v>1.8897320698542543</c:v>
                </c:pt>
                <c:pt idx="10">
                  <c:v>1.838689668765515</c:v>
                </c:pt>
                <c:pt idx="11">
                  <c:v>1.9225883068434728</c:v>
                </c:pt>
              </c:numCache>
            </c:numRef>
          </c:val>
          <c:smooth val="0"/>
        </c:ser>
        <c:ser>
          <c:idx val="5"/>
          <c:order val="5"/>
          <c:tx>
            <c:v>Credit 2016</c:v>
          </c:tx>
          <c:val>
            <c:numRef>
              <c:f>'FY2016'!$B$118:$B$129</c:f>
              <c:numCache>
                <c:formatCode>"$"#,##0.00</c:formatCode>
                <c:ptCount val="12"/>
                <c:pt idx="0">
                  <c:v>1.7133547968450367</c:v>
                </c:pt>
                <c:pt idx="1">
                  <c:v>1.7193193864225462</c:v>
                </c:pt>
                <c:pt idx="2">
                  <c:v>1.8261677135766317</c:v>
                </c:pt>
                <c:pt idx="3">
                  <c:v>1.7068831140746978</c:v>
                </c:pt>
                <c:pt idx="4">
                  <c:v>1.6217632187429403</c:v>
                </c:pt>
                <c:pt idx="5">
                  <c:v>1.611202059129041</c:v>
                </c:pt>
                <c:pt idx="6">
                  <c:v>1.7321021382529187</c:v>
                </c:pt>
                <c:pt idx="7">
                  <c:v>1.671619860499266</c:v>
                </c:pt>
                <c:pt idx="8">
                  <c:v>1.7068337072444979</c:v>
                </c:pt>
                <c:pt idx="9">
                  <c:v>1.6684753138440662</c:v>
                </c:pt>
                <c:pt idx="10">
                  <c:v>1.6668283078207979</c:v>
                </c:pt>
                <c:pt idx="11">
                  <c:v>1.775834908321797</c:v>
                </c:pt>
              </c:numCache>
            </c:numRef>
          </c:val>
          <c:smooth val="0"/>
        </c:ser>
        <c:ser>
          <c:idx val="6"/>
          <c:order val="6"/>
          <c:tx>
            <c:v>Credit 2017</c:v>
          </c:tx>
          <c:val>
            <c:numRef>
              <c:f>'FY2017'!$B$118:$B$129</c:f>
              <c:numCache>
                <c:formatCode>_("$"* #,##0.00_);_("$"* \(#,##0.00\);_("$"* "-"??_);_(@_)</c:formatCode>
                <c:ptCount val="12"/>
                <c:pt idx="0">
                  <c:v>1.7549429171734818</c:v>
                </c:pt>
                <c:pt idx="1">
                  <c:v>1.8923918916888429</c:v>
                </c:pt>
                <c:pt idx="2">
                  <c:v>1.9297984141960949</c:v>
                </c:pt>
                <c:pt idx="3">
                  <c:v>1.7272094746555133</c:v>
                </c:pt>
                <c:pt idx="4">
                  <c:v>1.6936386011670137</c:v>
                </c:pt>
                <c:pt idx="5">
                  <c:v>1.7154096422431275</c:v>
                </c:pt>
                <c:pt idx="6">
                  <c:v>1.7094203993161949</c:v>
                </c:pt>
                <c:pt idx="7">
                  <c:v>1.6891063333525593</c:v>
                </c:pt>
                <c:pt idx="8">
                  <c:v>1.6813332494401332</c:v>
                </c:pt>
                <c:pt idx="9" formatCode="&quot;$&quot;#,##0.00">
                  <c:v>1.6267227808070459</c:v>
                </c:pt>
                <c:pt idx="10" formatCode="&quot;$&quot;#,##0.00">
                  <c:v>0</c:v>
                </c:pt>
                <c:pt idx="11" formatCode="&quot;$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31328"/>
        <c:axId val="79745408"/>
      </c:lineChart>
      <c:dateAx>
        <c:axId val="797313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454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9745408"/>
        <c:scaling>
          <c:orientation val="minMax"/>
          <c:max val="2.5"/>
          <c:min val="1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31328"/>
        <c:crosses val="autoZero"/>
        <c:crossBetween val="between"/>
        <c:majorUnit val="0.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716766933166113E-2"/>
          <c:y val="0.85271413302478793"/>
          <c:w val="0.90697100665348829"/>
          <c:h val="0.147286127979390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Terminals</a:t>
            </a:r>
            <a:r>
              <a:rPr lang="en-US" baseline="0"/>
              <a:t> on File</a:t>
            </a:r>
            <a:r>
              <a:rPr lang="en-US"/>
              <a:t>
FY2013 Trend</a:t>
            </a:r>
          </a:p>
        </c:rich>
      </c:tx>
      <c:layout>
        <c:manualLayout>
          <c:xMode val="edge"/>
          <c:yMode val="edge"/>
          <c:x val="0.37659666464012237"/>
          <c:y val="3.8596676188147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19"/>
          <c:y val="0.30526420389325204"/>
          <c:w val="0.81274979452289875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v>Active Terminals 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'FY2013'!$A$164:$A$175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'FY2013'!$B$164:$B$175</c:f>
              <c:numCache>
                <c:formatCode>#,##0</c:formatCode>
                <c:ptCount val="12"/>
                <c:pt idx="0">
                  <c:v>7236</c:v>
                </c:pt>
                <c:pt idx="1">
                  <c:v>7267</c:v>
                </c:pt>
                <c:pt idx="2">
                  <c:v>7362</c:v>
                </c:pt>
                <c:pt idx="3">
                  <c:v>7550</c:v>
                </c:pt>
                <c:pt idx="4">
                  <c:v>7572</c:v>
                </c:pt>
                <c:pt idx="5">
                  <c:v>7487</c:v>
                </c:pt>
                <c:pt idx="6">
                  <c:v>7554</c:v>
                </c:pt>
                <c:pt idx="7">
                  <c:v>7598</c:v>
                </c:pt>
                <c:pt idx="8">
                  <c:v>7648</c:v>
                </c:pt>
                <c:pt idx="9">
                  <c:v>7877</c:v>
                </c:pt>
                <c:pt idx="10">
                  <c:v>7935</c:v>
                </c:pt>
                <c:pt idx="11">
                  <c:v>8032</c:v>
                </c:pt>
              </c:numCache>
            </c:numRef>
          </c:val>
          <c:smooth val="0"/>
        </c:ser>
        <c:ser>
          <c:idx val="2"/>
          <c:order val="1"/>
          <c:tx>
            <c:v>Active Terminals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numRef>
              <c:f>'FY2013'!$A$164:$A$175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'FY2012'!$B$172:$B$183</c:f>
              <c:numCache>
                <c:formatCode>#,##0</c:formatCode>
                <c:ptCount val="12"/>
                <c:pt idx="0">
                  <c:v>6478</c:v>
                </c:pt>
                <c:pt idx="1">
                  <c:v>6489</c:v>
                </c:pt>
                <c:pt idx="2">
                  <c:v>6525</c:v>
                </c:pt>
                <c:pt idx="3">
                  <c:v>6618</c:v>
                </c:pt>
                <c:pt idx="4">
                  <c:v>6778</c:v>
                </c:pt>
                <c:pt idx="5">
                  <c:v>6815</c:v>
                </c:pt>
                <c:pt idx="6">
                  <c:v>6856</c:v>
                </c:pt>
                <c:pt idx="7">
                  <c:v>6922</c:v>
                </c:pt>
                <c:pt idx="8">
                  <c:v>6969</c:v>
                </c:pt>
                <c:pt idx="9">
                  <c:v>6988</c:v>
                </c:pt>
                <c:pt idx="10">
                  <c:v>7051</c:v>
                </c:pt>
                <c:pt idx="11">
                  <c:v>7139</c:v>
                </c:pt>
              </c:numCache>
            </c:numRef>
          </c:val>
          <c:smooth val="0"/>
        </c:ser>
        <c:ser>
          <c:idx val="1"/>
          <c:order val="2"/>
          <c:tx>
            <c:v>Active Terminals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'FY2013'!$A$164:$A$175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'FY2011'!$B$173:$B$184</c:f>
              <c:numCache>
                <c:formatCode>#,##0</c:formatCode>
                <c:ptCount val="12"/>
                <c:pt idx="0">
                  <c:v>5829</c:v>
                </c:pt>
                <c:pt idx="1">
                  <c:v>5890</c:v>
                </c:pt>
                <c:pt idx="2">
                  <c:v>5909</c:v>
                </c:pt>
                <c:pt idx="3">
                  <c:v>5961</c:v>
                </c:pt>
                <c:pt idx="4">
                  <c:v>6024</c:v>
                </c:pt>
                <c:pt idx="5">
                  <c:v>6130</c:v>
                </c:pt>
                <c:pt idx="6">
                  <c:v>6169</c:v>
                </c:pt>
                <c:pt idx="7">
                  <c:v>6236</c:v>
                </c:pt>
                <c:pt idx="8">
                  <c:v>6324</c:v>
                </c:pt>
                <c:pt idx="9">
                  <c:v>6360</c:v>
                </c:pt>
                <c:pt idx="10">
                  <c:v>6392</c:v>
                </c:pt>
                <c:pt idx="11">
                  <c:v>6455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55488"/>
        <c:axId val="111857664"/>
      </c:lineChart>
      <c:dateAx>
        <c:axId val="1118554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57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857664"/>
        <c:scaling>
          <c:orientation val="minMax"/>
          <c:max val="8200"/>
          <c:min val="5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55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09484714283647"/>
          <c:y val="0.85936045264490701"/>
          <c:w val="0.7233015779161629"/>
          <c:h val="9.0303983207738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 horizontalDpi="-3" verticalDpi="1200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Chargebacks 
FY2013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2"/>
          <c:y val="0.30526420389325226"/>
          <c:w val="0.81274979452289908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v>Chargebacks 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'FY2013'!$A$183:$A$194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'FY2013'!$D$183:$D$195</c:f>
              <c:numCache>
                <c:formatCode>0.000%</c:formatCode>
                <c:ptCount val="13"/>
                <c:pt idx="0">
                  <c:v>1.0486307296439755E-4</c:v>
                </c:pt>
                <c:pt idx="1">
                  <c:v>1.1107161148028074E-4</c:v>
                </c:pt>
                <c:pt idx="2">
                  <c:v>9.0064904618031169E-5</c:v>
                </c:pt>
                <c:pt idx="3">
                  <c:v>8.6362032476852056E-5</c:v>
                </c:pt>
                <c:pt idx="4">
                  <c:v>8.5418208369506031E-5</c:v>
                </c:pt>
                <c:pt idx="5">
                  <c:v>9.1691430245138399E-5</c:v>
                </c:pt>
                <c:pt idx="6">
                  <c:v>9.9027995214247071E-5</c:v>
                </c:pt>
                <c:pt idx="7">
                  <c:v>1.0155601781582713E-4</c:v>
                </c:pt>
                <c:pt idx="8">
                  <c:v>1.1214973061774022E-4</c:v>
                </c:pt>
                <c:pt idx="9">
                  <c:v>1.1377484896033255E-4</c:v>
                </c:pt>
                <c:pt idx="10">
                  <c:v>1.1682588671825058E-4</c:v>
                </c:pt>
                <c:pt idx="11">
                  <c:v>1.1082111627398018E-4</c:v>
                </c:pt>
                <c:pt idx="12">
                  <c:v>1.0231360391894677E-4</c:v>
                </c:pt>
              </c:numCache>
            </c:numRef>
          </c:val>
          <c:smooth val="0"/>
        </c:ser>
        <c:ser>
          <c:idx val="2"/>
          <c:order val="1"/>
          <c:tx>
            <c:v>Chargebacks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numRef>
              <c:f>'FY2013'!$A$183:$A$194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'FY2012'!$D$191:$D$202</c:f>
              <c:numCache>
                <c:formatCode>0.000%</c:formatCode>
                <c:ptCount val="12"/>
                <c:pt idx="0">
                  <c:v>1.2299111042949598E-4</c:v>
                </c:pt>
                <c:pt idx="1">
                  <c:v>1.124799688992886E-4</c:v>
                </c:pt>
                <c:pt idx="2">
                  <c:v>1.0035105976800997E-4</c:v>
                </c:pt>
                <c:pt idx="3">
                  <c:v>9.4190644560566099E-5</c:v>
                </c:pt>
                <c:pt idx="4">
                  <c:v>1.1136247834505249E-4</c:v>
                </c:pt>
                <c:pt idx="5">
                  <c:v>1.0418383443599463E-4</c:v>
                </c:pt>
                <c:pt idx="6">
                  <c:v>9.0401985420540391E-5</c:v>
                </c:pt>
                <c:pt idx="7">
                  <c:v>1.0284910383535328E-4</c:v>
                </c:pt>
                <c:pt idx="8">
                  <c:v>9.6117283320869005E-5</c:v>
                </c:pt>
                <c:pt idx="9">
                  <c:v>9.8105899249097166E-5</c:v>
                </c:pt>
                <c:pt idx="10">
                  <c:v>1.181089282466441E-4</c:v>
                </c:pt>
                <c:pt idx="11">
                  <c:v>1.2147606992415002E-4</c:v>
                </c:pt>
              </c:numCache>
            </c:numRef>
          </c:val>
          <c:smooth val="0"/>
        </c:ser>
        <c:ser>
          <c:idx val="1"/>
          <c:order val="2"/>
          <c:tx>
            <c:v>Chargebacks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'FY2013'!$A$183:$A$194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'FY2011'!$D$192:$D$203</c:f>
              <c:numCache>
                <c:formatCode>0.000%</c:formatCode>
                <c:ptCount val="12"/>
                <c:pt idx="0">
                  <c:v>1.6668182511647556E-4</c:v>
                </c:pt>
                <c:pt idx="1">
                  <c:v>1.3219643123358457E-4</c:v>
                </c:pt>
                <c:pt idx="2">
                  <c:v>1.2416271732553868E-4</c:v>
                </c:pt>
                <c:pt idx="3">
                  <c:v>1.1326532420463537E-4</c:v>
                </c:pt>
                <c:pt idx="4">
                  <c:v>1.0444869855289592E-4</c:v>
                </c:pt>
                <c:pt idx="5">
                  <c:v>1.3526780912647524E-4</c:v>
                </c:pt>
                <c:pt idx="6">
                  <c:v>1.2337250423960215E-4</c:v>
                </c:pt>
                <c:pt idx="7">
                  <c:v>1.0634645098525457E-4</c:v>
                </c:pt>
                <c:pt idx="8">
                  <c:v>1.1341538476629074E-4</c:v>
                </c:pt>
                <c:pt idx="9">
                  <c:v>9.8881225391062833E-5</c:v>
                </c:pt>
                <c:pt idx="10">
                  <c:v>1.2891403245224322E-4</c:v>
                </c:pt>
                <c:pt idx="11">
                  <c:v>1.0362123951339337E-4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69408"/>
        <c:axId val="111971328"/>
      </c:lineChart>
      <c:dateAx>
        <c:axId val="1119694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713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971328"/>
        <c:scaling>
          <c:orientation val="minMax"/>
          <c:max val="1.8000000000000286E-4"/>
          <c:min val="6.0000000000001059E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69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57813782067344"/>
          <c:y val="0.86223130499694056"/>
          <c:w val="0.77446839062680162"/>
          <c:h val="8.6346808051703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landscape" horizontalDpi="-3" verticalDpi="1200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 Cost Per Transaction
FY2013 Trend</a:t>
            </a:r>
          </a:p>
        </c:rich>
      </c:tx>
      <c:layout>
        <c:manualLayout>
          <c:xMode val="edge"/>
          <c:yMode val="edge"/>
          <c:x val="0.31325301204819223"/>
          <c:y val="3.663007452535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460536442200781"/>
          <c:w val="0.80971659919028338"/>
          <c:h val="0.39315343547491688"/>
        </c:manualLayout>
      </c:layout>
      <c:lineChart>
        <c:grouping val="standard"/>
        <c:varyColors val="0"/>
        <c:ser>
          <c:idx val="0"/>
          <c:order val="0"/>
          <c:tx>
            <c:v>Credit 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'FY2013'!$A$111:$A$122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'FY2013'!$B$111:$B$122</c:f>
              <c:numCache>
                <c:formatCode>"$"#,##0.00</c:formatCode>
                <c:ptCount val="12"/>
                <c:pt idx="0">
                  <c:v>1.7159501721368904</c:v>
                </c:pt>
                <c:pt idx="1">
                  <c:v>1.8778543648611281</c:v>
                </c:pt>
                <c:pt idx="2">
                  <c:v>1.9204200089145527</c:v>
                </c:pt>
                <c:pt idx="3">
                  <c:v>1.8671037735953127</c:v>
                </c:pt>
                <c:pt idx="4">
                  <c:v>1.7733051655840182</c:v>
                </c:pt>
                <c:pt idx="5">
                  <c:v>1.7696216851515925</c:v>
                </c:pt>
                <c:pt idx="6">
                  <c:v>1.8451038878691006</c:v>
                </c:pt>
                <c:pt idx="7">
                  <c:v>1.8436431003739613</c:v>
                </c:pt>
                <c:pt idx="8">
                  <c:v>1.822458092223022</c:v>
                </c:pt>
                <c:pt idx="9">
                  <c:v>1.8609606337600413</c:v>
                </c:pt>
                <c:pt idx="10">
                  <c:v>1.8116856830922654</c:v>
                </c:pt>
                <c:pt idx="11">
                  <c:v>1.914673422569906</c:v>
                </c:pt>
              </c:numCache>
            </c:numRef>
          </c:val>
          <c:smooth val="0"/>
        </c:ser>
        <c:ser>
          <c:idx val="1"/>
          <c:order val="1"/>
          <c:tx>
            <c:v>Credit 2012</c:v>
          </c:tx>
          <c:marker>
            <c:symbol val="square"/>
            <c:size val="5"/>
          </c:marker>
          <c:cat>
            <c:numRef>
              <c:f>'FY2013'!$A$111:$A$122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'FY2012'!$B$119:$B$130</c:f>
              <c:numCache>
                <c:formatCode>"$"#,##0.00</c:formatCode>
                <c:ptCount val="12"/>
                <c:pt idx="0">
                  <c:v>1.7303298030823877</c:v>
                </c:pt>
                <c:pt idx="1">
                  <c:v>1.8073209239807644</c:v>
                </c:pt>
                <c:pt idx="2">
                  <c:v>1.8300065768800617</c:v>
                </c:pt>
                <c:pt idx="3">
                  <c:v>1.6932617377718975</c:v>
                </c:pt>
                <c:pt idx="4">
                  <c:v>1.654120176908183</c:v>
                </c:pt>
                <c:pt idx="5">
                  <c:v>1.6592068196265866</c:v>
                </c:pt>
                <c:pt idx="6">
                  <c:v>1.6764331686596075</c:v>
                </c:pt>
                <c:pt idx="7">
                  <c:v>1.7323417243415151</c:v>
                </c:pt>
                <c:pt idx="8">
                  <c:v>1.7837040059828793</c:v>
                </c:pt>
                <c:pt idx="9">
                  <c:v>1.7426475354927007</c:v>
                </c:pt>
                <c:pt idx="10">
                  <c:v>1.8272657571950719</c:v>
                </c:pt>
                <c:pt idx="11">
                  <c:v>1.8570606135614309</c:v>
                </c:pt>
              </c:numCache>
            </c:numRef>
          </c:val>
          <c:smooth val="0"/>
        </c:ser>
        <c:ser>
          <c:idx val="2"/>
          <c:order val="2"/>
          <c:tx>
            <c:v>Credit 2011</c:v>
          </c:tx>
          <c:cat>
            <c:numRef>
              <c:f>'FY2013'!$A$111:$A$122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'FY2011'!$B$120:$B$131</c:f>
              <c:numCache>
                <c:formatCode>"$"#,##0.00</c:formatCode>
                <c:ptCount val="12"/>
                <c:pt idx="0">
                  <c:v>2.0912740047499661</c:v>
                </c:pt>
                <c:pt idx="1">
                  <c:v>1.883362553413402</c:v>
                </c:pt>
                <c:pt idx="2">
                  <c:v>2.0423524865351421</c:v>
                </c:pt>
                <c:pt idx="3">
                  <c:v>1.8067210364580983</c:v>
                </c:pt>
                <c:pt idx="4">
                  <c:v>1.7727786871705264</c:v>
                </c:pt>
                <c:pt idx="5">
                  <c:v>1.8015620410346795</c:v>
                </c:pt>
                <c:pt idx="6">
                  <c:v>1.9172412339342038</c:v>
                </c:pt>
                <c:pt idx="7">
                  <c:v>1.9014877820803844</c:v>
                </c:pt>
                <c:pt idx="8">
                  <c:v>1.9587075535259311</c:v>
                </c:pt>
                <c:pt idx="9">
                  <c:v>1.8897320698542543</c:v>
                </c:pt>
                <c:pt idx="10">
                  <c:v>1.838689668765515</c:v>
                </c:pt>
                <c:pt idx="11">
                  <c:v>1.9225883068434728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8912"/>
        <c:axId val="111880448"/>
      </c:lineChart>
      <c:dateAx>
        <c:axId val="1118789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804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880448"/>
        <c:scaling>
          <c:orientation val="minMax"/>
          <c:max val="2.5"/>
          <c:min val="1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78912"/>
        <c:crosses val="autoZero"/>
        <c:crossBetween val="between"/>
        <c:majorUnit val="0.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17471095856123"/>
          <c:y val="0.85271413302478771"/>
          <c:w val="0.77134801593463465"/>
          <c:h val="0.10858650140712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FY2013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4"/>
          <c:w val="0.8117408906882686"/>
          <c:h val="0.40023728115914958"/>
        </c:manualLayout>
      </c:layout>
      <c:lineChart>
        <c:grouping val="standard"/>
        <c:varyColors val="0"/>
        <c:ser>
          <c:idx val="0"/>
          <c:order val="0"/>
          <c:tx>
            <c:v>Credit 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'FY2013'!$A$128:$A$139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'FY2013'!$B$128:$B$139</c:f>
              <c:numCache>
                <c:formatCode>"$"#,##0.000</c:formatCode>
                <c:ptCount val="12"/>
                <c:pt idx="0">
                  <c:v>0.1324117323875196</c:v>
                </c:pt>
                <c:pt idx="1">
                  <c:v>0.13314241338693128</c:v>
                </c:pt>
                <c:pt idx="2">
                  <c:v>0.13592377648785006</c:v>
                </c:pt>
                <c:pt idx="3">
                  <c:v>0.13027852228258635</c:v>
                </c:pt>
                <c:pt idx="4">
                  <c:v>0.12791124555353051</c:v>
                </c:pt>
                <c:pt idx="5">
                  <c:v>0.12607106784581182</c:v>
                </c:pt>
                <c:pt idx="6">
                  <c:v>0.1262287138574075</c:v>
                </c:pt>
                <c:pt idx="7">
                  <c:v>0.12503046611448751</c:v>
                </c:pt>
                <c:pt idx="8">
                  <c:v>0.13011263873130652</c:v>
                </c:pt>
                <c:pt idx="9">
                  <c:v>0.13239724744507911</c:v>
                </c:pt>
                <c:pt idx="10">
                  <c:v>0.13241759657467059</c:v>
                </c:pt>
                <c:pt idx="11">
                  <c:v>0.13551222682401085</c:v>
                </c:pt>
              </c:numCache>
            </c:numRef>
          </c:val>
          <c:smooth val="0"/>
        </c:ser>
        <c:ser>
          <c:idx val="1"/>
          <c:order val="1"/>
          <c:tx>
            <c:v>Credit 2012</c:v>
          </c:tx>
          <c:marker>
            <c:symbol val="square"/>
            <c:size val="5"/>
          </c:marker>
          <c:cat>
            <c:numRef>
              <c:f>'FY2013'!$A$128:$A$139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'FY2012'!$B$136:$B$147</c:f>
              <c:numCache>
                <c:formatCode>"$"#,##0.000</c:formatCode>
                <c:ptCount val="12"/>
                <c:pt idx="0">
                  <c:v>0.10991224909688312</c:v>
                </c:pt>
                <c:pt idx="1">
                  <c:v>0.11399001248176155</c:v>
                </c:pt>
                <c:pt idx="2">
                  <c:v>0.11529737532985765</c:v>
                </c:pt>
                <c:pt idx="3">
                  <c:v>0.11032645399014486</c:v>
                </c:pt>
                <c:pt idx="4">
                  <c:v>0.11007253724650976</c:v>
                </c:pt>
                <c:pt idx="5">
                  <c:v>0.10861759088126574</c:v>
                </c:pt>
                <c:pt idx="6">
                  <c:v>0.11793840684005384</c:v>
                </c:pt>
                <c:pt idx="7">
                  <c:v>0.11965308347405625</c:v>
                </c:pt>
                <c:pt idx="8">
                  <c:v>0.12375135639192583</c:v>
                </c:pt>
                <c:pt idx="9">
                  <c:v>0.12186296533720084</c:v>
                </c:pt>
                <c:pt idx="10">
                  <c:v>0.12537020321492784</c:v>
                </c:pt>
                <c:pt idx="11">
                  <c:v>0.13383184114968738</c:v>
                </c:pt>
              </c:numCache>
            </c:numRef>
          </c:val>
          <c:smooth val="0"/>
        </c:ser>
        <c:ser>
          <c:idx val="2"/>
          <c:order val="2"/>
          <c:tx>
            <c:v>Credit 2011</c:v>
          </c:tx>
          <c:cat>
            <c:numRef>
              <c:f>'FY2013'!$A$128:$A$139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'FY2011'!$B$137:$B$148</c:f>
              <c:numCache>
                <c:formatCode>"$"#,##0.000</c:formatCode>
                <c:ptCount val="12"/>
                <c:pt idx="0">
                  <c:v>0.119296303807607</c:v>
                </c:pt>
                <c:pt idx="1">
                  <c:v>0.11249727117018403</c:v>
                </c:pt>
                <c:pt idx="2">
                  <c:v>0.11966140192577281</c:v>
                </c:pt>
                <c:pt idx="3">
                  <c:v>0.10696679298186129</c:v>
                </c:pt>
                <c:pt idx="4">
                  <c:v>0.11025515221312465</c:v>
                </c:pt>
                <c:pt idx="5">
                  <c:v>0.10995166211103263</c:v>
                </c:pt>
                <c:pt idx="6">
                  <c:v>0.11333602846424273</c:v>
                </c:pt>
                <c:pt idx="7">
                  <c:v>0.11410374581131692</c:v>
                </c:pt>
                <c:pt idx="8">
                  <c:v>0.1151766444617735</c:v>
                </c:pt>
                <c:pt idx="9">
                  <c:v>0.11247205692520577</c:v>
                </c:pt>
                <c:pt idx="10">
                  <c:v>0.11099978691895464</c:v>
                </c:pt>
                <c:pt idx="11">
                  <c:v>0.11301192564256064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27296"/>
        <c:axId val="111928832"/>
      </c:lineChart>
      <c:dateAx>
        <c:axId val="1119272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288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928832"/>
        <c:scaling>
          <c:orientation val="minMax"/>
          <c:max val="0.18000000000000024"/>
          <c:min val="0.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27296"/>
        <c:crosses val="autoZero"/>
        <c:crossBetween val="between"/>
        <c:majorUnit val="1.0000000000000005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10778348690581"/>
          <c:y val="0.84756456692913351"/>
          <c:w val="0.7872423826794287"/>
          <c:h val="0.11743543307086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Sales Dollars
FY2013 Trend</a:t>
            </a:r>
          </a:p>
        </c:rich>
      </c:tx>
      <c:layout>
        <c:manualLayout>
          <c:xMode val="edge"/>
          <c:yMode val="edge"/>
          <c:x val="0.31400000000000372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0000000000041"/>
          <c:y val="0.32089610704311111"/>
          <c:w val="0.72200000000000064"/>
          <c:h val="0.37313500818966283"/>
        </c:manualLayout>
      </c:layout>
      <c:lineChart>
        <c:grouping val="standard"/>
        <c:varyColors val="0"/>
        <c:ser>
          <c:idx val="1"/>
          <c:order val="0"/>
          <c:tx>
            <c:v>PIN Debit 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'FY2013'!$A$9:$A$20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'FY2013'!$C$9:$C$20</c:f>
              <c:numCache>
                <c:formatCode>_("$"* #,##0_);_("$"* \(#,##0\);_("$"* "-"??_);_(@_)</c:formatCode>
                <c:ptCount val="12"/>
                <c:pt idx="0">
                  <c:v>220970227</c:v>
                </c:pt>
                <c:pt idx="1">
                  <c:v>232085939.86000001</c:v>
                </c:pt>
                <c:pt idx="2">
                  <c:v>242619302.84999999</c:v>
                </c:pt>
                <c:pt idx="3">
                  <c:v>218486100</c:v>
                </c:pt>
                <c:pt idx="4">
                  <c:v>224050133.69999999</c:v>
                </c:pt>
                <c:pt idx="5">
                  <c:v>251065328</c:v>
                </c:pt>
                <c:pt idx="6">
                  <c:v>217338571</c:v>
                </c:pt>
                <c:pt idx="7">
                  <c:v>233336216</c:v>
                </c:pt>
                <c:pt idx="8">
                  <c:v>227933502</c:v>
                </c:pt>
                <c:pt idx="9">
                  <c:v>204194734.19</c:v>
                </c:pt>
                <c:pt idx="10">
                  <c:v>234661180</c:v>
                </c:pt>
                <c:pt idx="11">
                  <c:v>221974564</c:v>
                </c:pt>
              </c:numCache>
            </c:numRef>
          </c:val>
          <c:smooth val="0"/>
        </c:ser>
        <c:ser>
          <c:idx val="0"/>
          <c:order val="1"/>
          <c:tx>
            <c:v>PIN Debit 2012</c:v>
          </c:tx>
          <c:cat>
            <c:numRef>
              <c:f>'FY2013'!$A$9:$A$20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'FY2012'!$C$17:$C$28</c:f>
              <c:numCache>
                <c:formatCode>_("$"* #,##0_);_("$"* \(#,##0\);_("$"* "-"??_);_(@_)</c:formatCode>
                <c:ptCount val="12"/>
                <c:pt idx="0">
                  <c:v>211424832</c:v>
                </c:pt>
                <c:pt idx="1">
                  <c:v>207728753.31</c:v>
                </c:pt>
                <c:pt idx="2">
                  <c:v>221708758</c:v>
                </c:pt>
                <c:pt idx="3">
                  <c:v>205884255</c:v>
                </c:pt>
                <c:pt idx="4">
                  <c:v>211128500</c:v>
                </c:pt>
                <c:pt idx="5">
                  <c:v>220068302.31999999</c:v>
                </c:pt>
                <c:pt idx="6">
                  <c:v>211036392.41</c:v>
                </c:pt>
                <c:pt idx="7">
                  <c:v>218710035</c:v>
                </c:pt>
                <c:pt idx="8">
                  <c:v>220505653</c:v>
                </c:pt>
                <c:pt idx="9">
                  <c:v>211730585</c:v>
                </c:pt>
                <c:pt idx="10">
                  <c:v>224658336.80000001</c:v>
                </c:pt>
                <c:pt idx="11">
                  <c:v>230461236</c:v>
                </c:pt>
              </c:numCache>
            </c:numRef>
          </c:val>
          <c:smooth val="0"/>
        </c:ser>
        <c:ser>
          <c:idx val="3"/>
          <c:order val="2"/>
          <c:tx>
            <c:v>PIN Debit 2011</c:v>
          </c:tx>
          <c:cat>
            <c:numRef>
              <c:f>'FY2013'!$A$9:$A$20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'FY2011'!$C$18:$C$29</c:f>
              <c:numCache>
                <c:formatCode>_("$"* #,##0_);_("$"* \(#,##0\);_("$"* "-"??_);_(@_)</c:formatCode>
                <c:ptCount val="12"/>
                <c:pt idx="0">
                  <c:v>204861464.94999999</c:v>
                </c:pt>
                <c:pt idx="1">
                  <c:v>194394741.47999999</c:v>
                </c:pt>
                <c:pt idx="2">
                  <c:v>205489113</c:v>
                </c:pt>
                <c:pt idx="3">
                  <c:v>198520610</c:v>
                </c:pt>
                <c:pt idx="4">
                  <c:v>185496077</c:v>
                </c:pt>
                <c:pt idx="5">
                  <c:v>201254413</c:v>
                </c:pt>
                <c:pt idx="6">
                  <c:v>203187477</c:v>
                </c:pt>
                <c:pt idx="7">
                  <c:v>203260624</c:v>
                </c:pt>
                <c:pt idx="8">
                  <c:v>191492037</c:v>
                </c:pt>
                <c:pt idx="9">
                  <c:v>201987028</c:v>
                </c:pt>
                <c:pt idx="10">
                  <c:v>197799494</c:v>
                </c:pt>
                <c:pt idx="11">
                  <c:v>205150436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2960"/>
        <c:axId val="112558848"/>
      </c:lineChart>
      <c:dateAx>
        <c:axId val="112552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588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558848"/>
        <c:scaling>
          <c:orientation val="minMax"/>
          <c:min val="18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3395355378309409E-2"/>
              <c:y val="0.488806921948454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52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594529185418675"/>
          <c:y val="0.86603554783788905"/>
          <c:w val="0.73698193282464564"/>
          <c:h val="9.41632486053311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Number of Transactions
FY2013</a:t>
            </a:r>
            <a:r>
              <a:rPr lang="en-US" baseline="0"/>
              <a:t> </a:t>
            </a:r>
            <a:r>
              <a:rPr lang="en-US"/>
              <a:t>Trend</a:t>
            </a:r>
          </a:p>
        </c:rich>
      </c:tx>
      <c:layout>
        <c:manualLayout>
          <c:xMode val="edge"/>
          <c:yMode val="edge"/>
          <c:x val="0.31388329979879842"/>
          <c:y val="3.7453183520599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53"/>
          <c:w val="0.74446680080482897"/>
          <c:h val="0.37078787302447758"/>
        </c:manualLayout>
      </c:layout>
      <c:lineChart>
        <c:grouping val="standard"/>
        <c:varyColors val="0"/>
        <c:ser>
          <c:idx val="1"/>
          <c:order val="0"/>
          <c:tx>
            <c:v>PIN Debit 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'FY2013'!$A$25:$A$36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'FY2013'!$C$25:$C$36</c:f>
              <c:numCache>
                <c:formatCode>[Black]#,##0;[Black]\-#,##0</c:formatCode>
                <c:ptCount val="12"/>
                <c:pt idx="0">
                  <c:v>3089139</c:v>
                </c:pt>
                <c:pt idx="1">
                  <c:v>3129893</c:v>
                </c:pt>
                <c:pt idx="2">
                  <c:v>3140413</c:v>
                </c:pt>
                <c:pt idx="3">
                  <c:v>3072954</c:v>
                </c:pt>
                <c:pt idx="4">
                  <c:v>3030850</c:v>
                </c:pt>
                <c:pt idx="5">
                  <c:v>3418073</c:v>
                </c:pt>
                <c:pt idx="6">
                  <c:v>3106396</c:v>
                </c:pt>
                <c:pt idx="7">
                  <c:v>3326812</c:v>
                </c:pt>
                <c:pt idx="8">
                  <c:v>3177057</c:v>
                </c:pt>
                <c:pt idx="9">
                  <c:v>2796040</c:v>
                </c:pt>
                <c:pt idx="10">
                  <c:v>3148673</c:v>
                </c:pt>
                <c:pt idx="11">
                  <c:v>3089060</c:v>
                </c:pt>
              </c:numCache>
            </c:numRef>
          </c:val>
          <c:smooth val="0"/>
        </c:ser>
        <c:ser>
          <c:idx val="0"/>
          <c:order val="1"/>
          <c:tx>
            <c:v>PIN Debit 2012</c:v>
          </c:tx>
          <c:cat>
            <c:numRef>
              <c:f>'FY2013'!$A$25:$A$36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'FY2012'!$C$33:$C$44</c:f>
              <c:numCache>
                <c:formatCode>[Black]#,##0;[Black]\-#,##0</c:formatCode>
                <c:ptCount val="12"/>
                <c:pt idx="0">
                  <c:v>2837421</c:v>
                </c:pt>
                <c:pt idx="1">
                  <c:v>2768231</c:v>
                </c:pt>
                <c:pt idx="2">
                  <c:v>2856005</c:v>
                </c:pt>
                <c:pt idx="3">
                  <c:v>2773958</c:v>
                </c:pt>
                <c:pt idx="4">
                  <c:v>2807394</c:v>
                </c:pt>
                <c:pt idx="5">
                  <c:v>2996465</c:v>
                </c:pt>
                <c:pt idx="6">
                  <c:v>2890871</c:v>
                </c:pt>
                <c:pt idx="7">
                  <c:v>3045930</c:v>
                </c:pt>
                <c:pt idx="8">
                  <c:v>3017903</c:v>
                </c:pt>
                <c:pt idx="9">
                  <c:v>2930068</c:v>
                </c:pt>
                <c:pt idx="10">
                  <c:v>3129911</c:v>
                </c:pt>
                <c:pt idx="11">
                  <c:v>3117200</c:v>
                </c:pt>
              </c:numCache>
            </c:numRef>
          </c:val>
          <c:smooth val="0"/>
        </c:ser>
        <c:ser>
          <c:idx val="2"/>
          <c:order val="2"/>
          <c:tx>
            <c:v>PIN Debit 2011</c:v>
          </c:tx>
          <c:spPr>
            <a:ln>
              <a:solidFill>
                <a:srgbClr val="7030A0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7030A0"/>
                </a:solidFill>
              </a:ln>
            </c:spPr>
          </c:marker>
          <c:cat>
            <c:numRef>
              <c:f>'FY2013'!$A$25:$A$36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'FY2011'!$C$34:$C$45</c:f>
              <c:numCache>
                <c:formatCode>[Black]#,##0;[Black]\-#,##0</c:formatCode>
                <c:ptCount val="12"/>
                <c:pt idx="0">
                  <c:v>2742674</c:v>
                </c:pt>
                <c:pt idx="1">
                  <c:v>2602330</c:v>
                </c:pt>
                <c:pt idx="2">
                  <c:v>2670307</c:v>
                </c:pt>
                <c:pt idx="3">
                  <c:v>2644287</c:v>
                </c:pt>
                <c:pt idx="4">
                  <c:v>2478299</c:v>
                </c:pt>
                <c:pt idx="5">
                  <c:v>2753231</c:v>
                </c:pt>
                <c:pt idx="6">
                  <c:v>2734993</c:v>
                </c:pt>
                <c:pt idx="7">
                  <c:v>2750883</c:v>
                </c:pt>
                <c:pt idx="8">
                  <c:v>2637336</c:v>
                </c:pt>
                <c:pt idx="9">
                  <c:v>2694067</c:v>
                </c:pt>
                <c:pt idx="10">
                  <c:v>2701393</c:v>
                </c:pt>
                <c:pt idx="11">
                  <c:v>2747644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93152"/>
        <c:axId val="112599424"/>
      </c:lineChart>
      <c:dateAx>
        <c:axId val="1125931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994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599424"/>
        <c:scaling>
          <c:orientation val="minMax"/>
          <c:max val="3500000"/>
          <c:min val="22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1.3545020159193387E-2"/>
              <c:y val="0.3632970597776403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#,##0;[Black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93152"/>
        <c:crosses val="autoZero"/>
        <c:crossBetween val="between"/>
        <c:majorUnit val="250000"/>
        <c:min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62179316638398"/>
          <c:y val="0.88602750498884253"/>
          <c:w val="0.7470787993466248"/>
          <c:h val="7.4022432589184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
FY2013 Trend</a:t>
            </a:r>
          </a:p>
        </c:rich>
      </c:tx>
      <c:layout>
        <c:manualLayout>
          <c:xMode val="edge"/>
          <c:yMode val="edge"/>
          <c:x val="0.31400000000000372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0000000000012"/>
          <c:y val="0.31970260223049007"/>
          <c:w val="0.81200000000000061"/>
          <c:h val="0.3754646840148847"/>
        </c:manualLayout>
      </c:layout>
      <c:lineChart>
        <c:grouping val="standard"/>
        <c:varyColors val="0"/>
        <c:ser>
          <c:idx val="1"/>
          <c:order val="0"/>
          <c:tx>
            <c:v>PIN Debit 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'FY2013'!$A$59:$A$70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'FY2013'!$C$59:$C$70</c:f>
              <c:numCache>
                <c:formatCode>"$"#,##0</c:formatCode>
                <c:ptCount val="12"/>
                <c:pt idx="0">
                  <c:v>787061.98999999987</c:v>
                </c:pt>
                <c:pt idx="1">
                  <c:v>813583.88000000012</c:v>
                </c:pt>
                <c:pt idx="2">
                  <c:v>802315.87</c:v>
                </c:pt>
                <c:pt idx="3">
                  <c:v>782689.96999999986</c:v>
                </c:pt>
                <c:pt idx="4">
                  <c:v>776752.9</c:v>
                </c:pt>
                <c:pt idx="5">
                  <c:v>869636.29999999993</c:v>
                </c:pt>
                <c:pt idx="6">
                  <c:v>803401.98</c:v>
                </c:pt>
                <c:pt idx="7">
                  <c:v>869059.80999999994</c:v>
                </c:pt>
                <c:pt idx="8">
                  <c:v>806126.21</c:v>
                </c:pt>
                <c:pt idx="9">
                  <c:v>721802.36</c:v>
                </c:pt>
                <c:pt idx="10">
                  <c:v>816320.39000000025</c:v>
                </c:pt>
                <c:pt idx="11">
                  <c:v>777974.19000000018</c:v>
                </c:pt>
              </c:numCache>
            </c:numRef>
          </c:val>
          <c:smooth val="0"/>
        </c:ser>
        <c:ser>
          <c:idx val="0"/>
          <c:order val="1"/>
          <c:tx>
            <c:v>PIN Debit 2012</c:v>
          </c:tx>
          <c:cat>
            <c:numRef>
              <c:f>'FY2013'!$A$59:$A$70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'FY2012'!$C$67:$C$78</c:f>
              <c:numCache>
                <c:formatCode>"$"#,##0</c:formatCode>
                <c:ptCount val="12"/>
                <c:pt idx="0">
                  <c:v>706513.09999999986</c:v>
                </c:pt>
                <c:pt idx="1">
                  <c:v>719959.22999999986</c:v>
                </c:pt>
                <c:pt idx="2">
                  <c:v>749991.60000000009</c:v>
                </c:pt>
                <c:pt idx="3">
                  <c:v>702725.10000000009</c:v>
                </c:pt>
                <c:pt idx="4">
                  <c:v>722662.79000000027</c:v>
                </c:pt>
                <c:pt idx="5">
                  <c:v>784746.1</c:v>
                </c:pt>
                <c:pt idx="6">
                  <c:v>722652.05999999994</c:v>
                </c:pt>
                <c:pt idx="7">
                  <c:v>786373.25999999989</c:v>
                </c:pt>
                <c:pt idx="8">
                  <c:v>782377.27999999991</c:v>
                </c:pt>
                <c:pt idx="9">
                  <c:v>740166.21000000031</c:v>
                </c:pt>
                <c:pt idx="10">
                  <c:v>818195.74000000022</c:v>
                </c:pt>
                <c:pt idx="11">
                  <c:v>788317.35000000009</c:v>
                </c:pt>
              </c:numCache>
            </c:numRef>
          </c:val>
          <c:smooth val="0"/>
        </c:ser>
        <c:ser>
          <c:idx val="3"/>
          <c:order val="2"/>
          <c:tx>
            <c:v>PIN Debit 2011</c:v>
          </c:tx>
          <c:cat>
            <c:numRef>
              <c:f>'FY2013'!$A$59:$A$70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'FY2011'!$C$68:$C$79</c:f>
              <c:numCache>
                <c:formatCode>"$"#,##0</c:formatCode>
                <c:ptCount val="12"/>
                <c:pt idx="0">
                  <c:v>869767.96</c:v>
                </c:pt>
                <c:pt idx="1">
                  <c:v>816758.36</c:v>
                </c:pt>
                <c:pt idx="2">
                  <c:v>859992.62</c:v>
                </c:pt>
                <c:pt idx="3">
                  <c:v>816883.41</c:v>
                </c:pt>
                <c:pt idx="4">
                  <c:v>831121</c:v>
                </c:pt>
                <c:pt idx="5">
                  <c:v>946350.06</c:v>
                </c:pt>
                <c:pt idx="6">
                  <c:v>926955</c:v>
                </c:pt>
                <c:pt idx="7">
                  <c:v>884044</c:v>
                </c:pt>
                <c:pt idx="8">
                  <c:v>881759</c:v>
                </c:pt>
                <c:pt idx="9">
                  <c:v>897184</c:v>
                </c:pt>
                <c:pt idx="10">
                  <c:v>898622</c:v>
                </c:pt>
                <c:pt idx="11">
                  <c:v>931889.7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42304"/>
        <c:axId val="112652288"/>
      </c:lineChart>
      <c:dateAx>
        <c:axId val="1126423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522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652288"/>
        <c:scaling>
          <c:orientation val="minMax"/>
          <c:max val="1000000"/>
          <c:min val="6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42304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52834900320941"/>
          <c:y val="0.86382805701055443"/>
          <c:w val="0.74318848143242999"/>
          <c:h val="0.10576653353992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Network Fees
FY2013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3036437247187"/>
          <c:y val="0.30106344157989551"/>
          <c:w val="0.8137651821862345"/>
          <c:h val="0.40023728115914958"/>
        </c:manualLayout>
      </c:layout>
      <c:lineChart>
        <c:grouping val="standard"/>
        <c:varyColors val="0"/>
        <c:ser>
          <c:idx val="1"/>
          <c:order val="0"/>
          <c:tx>
            <c:v>PIN Debit 2013</c:v>
          </c:tx>
          <c:spPr>
            <a:ln w="22225">
              <a:solidFill>
                <a:srgbClr val="FF33CC"/>
              </a:solidFill>
            </a:ln>
          </c:spPr>
          <c:marker>
            <c:spPr>
              <a:ln>
                <a:solidFill>
                  <a:srgbClr val="FF33CC"/>
                </a:solidFill>
              </a:ln>
            </c:spPr>
          </c:marker>
          <c:cat>
            <c:numRef>
              <c:f>'FY2013'!$A$76:$A$87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'FY2013'!$C$76:$C$87</c:f>
              <c:numCache>
                <c:formatCode>"$"#,##0</c:formatCode>
                <c:ptCount val="12"/>
                <c:pt idx="0">
                  <c:v>107887.13000000012</c:v>
                </c:pt>
                <c:pt idx="1">
                  <c:v>109647.12999999989</c:v>
                </c:pt>
                <c:pt idx="2">
                  <c:v>108453.56000000006</c:v>
                </c:pt>
                <c:pt idx="3">
                  <c:v>106211.25000000012</c:v>
                </c:pt>
                <c:pt idx="4">
                  <c:v>106347.09999999998</c:v>
                </c:pt>
                <c:pt idx="5">
                  <c:v>117957.71000000008</c:v>
                </c:pt>
                <c:pt idx="6">
                  <c:v>102334.17000000004</c:v>
                </c:pt>
                <c:pt idx="7">
                  <c:v>110128.24000000011</c:v>
                </c:pt>
                <c:pt idx="8">
                  <c:v>97525.160000000033</c:v>
                </c:pt>
                <c:pt idx="9">
                  <c:v>87198.680000000051</c:v>
                </c:pt>
                <c:pt idx="10">
                  <c:v>114822.63999999978</c:v>
                </c:pt>
                <c:pt idx="11">
                  <c:v>89845.10999999987</c:v>
                </c:pt>
              </c:numCache>
            </c:numRef>
          </c:val>
          <c:smooth val="0"/>
        </c:ser>
        <c:ser>
          <c:idx val="0"/>
          <c:order val="1"/>
          <c:tx>
            <c:v>PIN Debit 2012</c:v>
          </c:tx>
          <c:val>
            <c:numRef>
              <c:f>'FY2012'!$C$84:$C$95</c:f>
              <c:numCache>
                <c:formatCode>"$"#,##0</c:formatCode>
                <c:ptCount val="12"/>
                <c:pt idx="0">
                  <c:v>99860.660000000149</c:v>
                </c:pt>
                <c:pt idx="1">
                  <c:v>101172.3600000001</c:v>
                </c:pt>
                <c:pt idx="2">
                  <c:v>104629.99999999988</c:v>
                </c:pt>
                <c:pt idx="3">
                  <c:v>100285.11999999988</c:v>
                </c:pt>
                <c:pt idx="4">
                  <c:v>100876.40999999968</c:v>
                </c:pt>
                <c:pt idx="5">
                  <c:v>109579.30000000005</c:v>
                </c:pt>
                <c:pt idx="6">
                  <c:v>103051.09000000008</c:v>
                </c:pt>
                <c:pt idx="7">
                  <c:v>108115.3600000001</c:v>
                </c:pt>
                <c:pt idx="8">
                  <c:v>105811.02000000014</c:v>
                </c:pt>
                <c:pt idx="9">
                  <c:v>99893.659999999683</c:v>
                </c:pt>
                <c:pt idx="10">
                  <c:v>110094.7899999998</c:v>
                </c:pt>
                <c:pt idx="11">
                  <c:v>104855.79999999993</c:v>
                </c:pt>
              </c:numCache>
            </c:numRef>
          </c:val>
          <c:smooth val="0"/>
        </c:ser>
        <c:ser>
          <c:idx val="3"/>
          <c:order val="2"/>
          <c:tx>
            <c:v>PIN Debit 2011</c:v>
          </c:tx>
          <c:cat>
            <c:numRef>
              <c:f>'FY2013'!$A$76:$A$87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'FY2011'!$C$85:$C$96</c:f>
              <c:numCache>
                <c:formatCode>"$"#,##0</c:formatCode>
                <c:ptCount val="12"/>
                <c:pt idx="4">
                  <c:v>93289.59</c:v>
                </c:pt>
                <c:pt idx="5">
                  <c:v>105591.58999999997</c:v>
                </c:pt>
                <c:pt idx="6">
                  <c:v>100923.86999999997</c:v>
                </c:pt>
                <c:pt idx="7">
                  <c:v>96328.930000000022</c:v>
                </c:pt>
                <c:pt idx="8">
                  <c:v>96117.430000000022</c:v>
                </c:pt>
                <c:pt idx="9">
                  <c:v>97518.270000000077</c:v>
                </c:pt>
                <c:pt idx="10">
                  <c:v>97906.25000000016</c:v>
                </c:pt>
                <c:pt idx="11">
                  <c:v>108733.17999999982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78400"/>
        <c:axId val="112679936"/>
      </c:lineChart>
      <c:dateAx>
        <c:axId val="1126784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799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679936"/>
        <c:scaling>
          <c:orientation val="minMax"/>
          <c:min val="6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78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32838772726937"/>
          <c:y val="0.84349251968503935"/>
          <c:w val="0.77170545595498541"/>
          <c:h val="0.10150748031496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Signature</a:t>
            </a:r>
            <a:r>
              <a:rPr lang="en-US" baseline="0"/>
              <a:t> Debit Transactions</a:t>
            </a:r>
            <a:r>
              <a:rPr lang="en-US"/>
              <a:t>
FY2013 Trend</a:t>
            </a:r>
          </a:p>
        </c:rich>
      </c:tx>
      <c:layout>
        <c:manualLayout>
          <c:xMode val="edge"/>
          <c:yMode val="edge"/>
          <c:x val="0.2969618686619378"/>
          <c:y val="3.69779527559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0"/>
          <c:order val="0"/>
          <c:tx>
            <c:v>Sig Debit Tran Count 2013</c:v>
          </c:tx>
          <c:spPr>
            <a:ln w="12700"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'FY2013'!$A$93:$A$104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'FY2013'!$B$93:$B$104</c:f>
              <c:numCache>
                <c:formatCode>#,##0</c:formatCode>
                <c:ptCount val="12"/>
                <c:pt idx="0">
                  <c:v>2331184</c:v>
                </c:pt>
                <c:pt idx="1">
                  <c:v>2180620</c:v>
                </c:pt>
                <c:pt idx="2">
                  <c:v>2229765</c:v>
                </c:pt>
                <c:pt idx="3">
                  <c:v>2324659</c:v>
                </c:pt>
                <c:pt idx="4">
                  <c:v>2273355</c:v>
                </c:pt>
                <c:pt idx="5">
                  <c:v>2648387</c:v>
                </c:pt>
                <c:pt idx="6">
                  <c:v>2450890</c:v>
                </c:pt>
                <c:pt idx="7">
                  <c:v>2652022</c:v>
                </c:pt>
                <c:pt idx="8">
                  <c:v>2607548</c:v>
                </c:pt>
                <c:pt idx="9">
                  <c:v>2510877</c:v>
                </c:pt>
                <c:pt idx="10">
                  <c:v>2601363</c:v>
                </c:pt>
                <c:pt idx="11">
                  <c:v>2340406</c:v>
                </c:pt>
              </c:numCache>
            </c:numRef>
          </c:val>
          <c:smooth val="0"/>
        </c:ser>
        <c:ser>
          <c:idx val="2"/>
          <c:order val="1"/>
          <c:tx>
            <c:v>Sig Debit Tran Count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'FY2013'!$A$93:$A$104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'FY2012'!$B$101:$B$112</c:f>
              <c:numCache>
                <c:formatCode>#,##0</c:formatCode>
                <c:ptCount val="12"/>
                <c:pt idx="0">
                  <c:v>2335314</c:v>
                </c:pt>
                <c:pt idx="1">
                  <c:v>2226585</c:v>
                </c:pt>
                <c:pt idx="2">
                  <c:v>2361670</c:v>
                </c:pt>
                <c:pt idx="3">
                  <c:v>2286304</c:v>
                </c:pt>
                <c:pt idx="4">
                  <c:v>2422856</c:v>
                </c:pt>
                <c:pt idx="5">
                  <c:v>2660111</c:v>
                </c:pt>
                <c:pt idx="6">
                  <c:v>2407902</c:v>
                </c:pt>
                <c:pt idx="7">
                  <c:v>2559494</c:v>
                </c:pt>
                <c:pt idx="8">
                  <c:v>2566260</c:v>
                </c:pt>
                <c:pt idx="9">
                  <c:v>2417787</c:v>
                </c:pt>
                <c:pt idx="10">
                  <c:v>2589648</c:v>
                </c:pt>
                <c:pt idx="11">
                  <c:v>2359446</c:v>
                </c:pt>
              </c:numCache>
            </c:numRef>
          </c:val>
          <c:smooth val="0"/>
        </c:ser>
        <c:ser>
          <c:idx val="1"/>
          <c:order val="2"/>
          <c:tx>
            <c:v>Sig Debit Tran Count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'FY2013'!$A$93:$A$104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'FY2011'!$B$102:$B$113</c:f>
              <c:numCache>
                <c:formatCode>#,##0</c:formatCode>
                <c:ptCount val="12"/>
                <c:pt idx="0">
                  <c:v>2074161</c:v>
                </c:pt>
                <c:pt idx="1">
                  <c:v>1974976</c:v>
                </c:pt>
                <c:pt idx="2">
                  <c:v>2125799</c:v>
                </c:pt>
                <c:pt idx="3">
                  <c:v>2058669</c:v>
                </c:pt>
                <c:pt idx="4">
                  <c:v>2084273</c:v>
                </c:pt>
                <c:pt idx="5">
                  <c:v>2399589</c:v>
                </c:pt>
                <c:pt idx="6">
                  <c:v>2321494</c:v>
                </c:pt>
                <c:pt idx="7">
                  <c:v>2320821</c:v>
                </c:pt>
                <c:pt idx="8">
                  <c:v>2387014</c:v>
                </c:pt>
                <c:pt idx="9">
                  <c:v>2494889</c:v>
                </c:pt>
                <c:pt idx="10">
                  <c:v>2422838</c:v>
                </c:pt>
                <c:pt idx="11">
                  <c:v>2321746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2128"/>
        <c:axId val="112704896"/>
      </c:lineChart>
      <c:dateAx>
        <c:axId val="1122721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7048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704896"/>
        <c:scaling>
          <c:orientation val="minMax"/>
          <c:max val="2750000"/>
          <c:min val="17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72128"/>
        <c:crosses val="autoZero"/>
        <c:crossBetween val="between"/>
        <c:majorUnit val="25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84461054533364"/>
          <c:y val="0.83665472440945265"/>
          <c:w val="0.74928766121269497"/>
          <c:h val="0.15334527559055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 Cost Per Transaction
FY2013 Trend</a:t>
            </a:r>
          </a:p>
        </c:rich>
      </c:tx>
      <c:layout>
        <c:manualLayout>
          <c:xMode val="edge"/>
          <c:yMode val="edge"/>
          <c:x val="0.31325301204819223"/>
          <c:y val="3.6630074525356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460536442200781"/>
          <c:w val="0.80971659919028338"/>
          <c:h val="0.39315343547491688"/>
        </c:manualLayout>
      </c:layout>
      <c:lineChart>
        <c:grouping val="standard"/>
        <c:varyColors val="0"/>
        <c:ser>
          <c:idx val="1"/>
          <c:order val="0"/>
          <c:tx>
            <c:v>PIN Debit 2013</c:v>
          </c:tx>
          <c:spPr>
            <a:ln w="12700"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cat>
            <c:numRef>
              <c:f>'FY2013'!$A$111:$A$122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'FY2013'!$C$111:$C$122</c:f>
              <c:numCache>
                <c:formatCode>"$"#,##0.00</c:formatCode>
                <c:ptCount val="12"/>
                <c:pt idx="0">
                  <c:v>0.25478361122629961</c:v>
                </c:pt>
                <c:pt idx="1">
                  <c:v>0.25993983819894168</c:v>
                </c:pt>
                <c:pt idx="2">
                  <c:v>0.25548100520536632</c:v>
                </c:pt>
                <c:pt idx="3">
                  <c:v>0.2547027941192741</c:v>
                </c:pt>
                <c:pt idx="4">
                  <c:v>0.25628219806324959</c:v>
                </c:pt>
                <c:pt idx="5">
                  <c:v>0.2544229745824621</c:v>
                </c:pt>
                <c:pt idx="6">
                  <c:v>0.25862832040731443</c:v>
                </c:pt>
                <c:pt idx="7">
                  <c:v>0.26122901143797722</c:v>
                </c:pt>
                <c:pt idx="8">
                  <c:v>0.2537336314708864</c:v>
                </c:pt>
                <c:pt idx="9">
                  <c:v>0.2581516573439579</c:v>
                </c:pt>
                <c:pt idx="10">
                  <c:v>0.25925854796607978</c:v>
                </c:pt>
                <c:pt idx="11">
                  <c:v>0.25184819653875296</c:v>
                </c:pt>
              </c:numCache>
            </c:numRef>
          </c:val>
          <c:smooth val="0"/>
        </c:ser>
        <c:ser>
          <c:idx val="0"/>
          <c:order val="1"/>
          <c:tx>
            <c:v>PIN Debit 2012</c:v>
          </c:tx>
          <c:cat>
            <c:numRef>
              <c:f>'FY2013'!$A$111:$A$122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'FY2012'!$C$119:$C$130</c:f>
              <c:numCache>
                <c:formatCode>"$"#,##0.00</c:formatCode>
                <c:ptCount val="12"/>
                <c:pt idx="0">
                  <c:v>0.24899833334566843</c:v>
                </c:pt>
                <c:pt idx="1">
                  <c:v>0.2600791733059849</c:v>
                </c:pt>
                <c:pt idx="2">
                  <c:v>0.26260164110356954</c:v>
                </c:pt>
                <c:pt idx="3">
                  <c:v>0.25332939431671281</c:v>
                </c:pt>
                <c:pt idx="4">
                  <c:v>0.25741409648948466</c:v>
                </c:pt>
                <c:pt idx="5">
                  <c:v>0.26189062778974559</c:v>
                </c:pt>
                <c:pt idx="6">
                  <c:v>0.24997727674462122</c:v>
                </c:pt>
                <c:pt idx="7">
                  <c:v>0.258171809595099</c:v>
                </c:pt>
                <c:pt idx="8">
                  <c:v>0.25924533691109353</c:v>
                </c:pt>
                <c:pt idx="9">
                  <c:v>0.25261059129003161</c:v>
                </c:pt>
                <c:pt idx="10">
                  <c:v>0.2614118228920887</c:v>
                </c:pt>
                <c:pt idx="11">
                  <c:v>0.25289277235981011</c:v>
                </c:pt>
              </c:numCache>
            </c:numRef>
          </c:val>
          <c:smooth val="0"/>
        </c:ser>
        <c:ser>
          <c:idx val="3"/>
          <c:order val="2"/>
          <c:tx>
            <c:v>PIN Debit 2011</c:v>
          </c:tx>
          <c:cat>
            <c:numRef>
              <c:f>'FY2013'!$A$111:$A$122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'FY2011'!$C$120:$C$131</c:f>
              <c:numCache>
                <c:formatCode>"$"#,##0.00</c:formatCode>
                <c:ptCount val="12"/>
                <c:pt idx="0">
                  <c:v>0.31712407672220611</c:v>
                </c:pt>
                <c:pt idx="1">
                  <c:v>0.31385656699957343</c:v>
                </c:pt>
                <c:pt idx="2">
                  <c:v>0.32205758364113191</c:v>
                </c:pt>
                <c:pt idx="3">
                  <c:v>0.30892388382955405</c:v>
                </c:pt>
                <c:pt idx="4">
                  <c:v>0.33535945420629232</c:v>
                </c:pt>
                <c:pt idx="5">
                  <c:v>0.34372345073842336</c:v>
                </c:pt>
                <c:pt idx="6">
                  <c:v>0.33892408499765814</c:v>
                </c:pt>
                <c:pt idx="7">
                  <c:v>0.32136735731763222</c:v>
                </c:pt>
                <c:pt idx="8">
                  <c:v>0.33433699763700947</c:v>
                </c:pt>
                <c:pt idx="9">
                  <c:v>0.33302215572218508</c:v>
                </c:pt>
                <c:pt idx="10">
                  <c:v>0.33265133951261444</c:v>
                </c:pt>
                <c:pt idx="11">
                  <c:v>0.33915954905366197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12320"/>
        <c:axId val="112313856"/>
      </c:lineChart>
      <c:dateAx>
        <c:axId val="1123123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138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313856"/>
        <c:scaling>
          <c:orientation val="minMax"/>
          <c:max val="0.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12320"/>
        <c:crosses val="autoZero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6458061791044"/>
          <c:y val="0.85271413302478771"/>
          <c:w val="0.7707828690826205"/>
          <c:h val="9.86238613075001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FY2017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51"/>
          <c:w val="0.81174089068826882"/>
          <c:h val="0.4002372811591495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'FY2015'!$B$128:$B$139</c:f>
              <c:numCache>
                <c:formatCode>"$"#,##0.000</c:formatCode>
                <c:ptCount val="12"/>
                <c:pt idx="0">
                  <c:v>0.13085534270361138</c:v>
                </c:pt>
                <c:pt idx="1">
                  <c:v>0.13013736383992461</c:v>
                </c:pt>
                <c:pt idx="2">
                  <c:v>0.13439394430272564</c:v>
                </c:pt>
                <c:pt idx="3">
                  <c:v>0.13582039487258429</c:v>
                </c:pt>
                <c:pt idx="4">
                  <c:v>0.14034028990178438</c:v>
                </c:pt>
                <c:pt idx="5">
                  <c:v>0.1347362594712784</c:v>
                </c:pt>
                <c:pt idx="6">
                  <c:v>0.13675718690834354</c:v>
                </c:pt>
                <c:pt idx="7">
                  <c:v>0.13907901006997439</c:v>
                </c:pt>
                <c:pt idx="8">
                  <c:v>0.13997963029198587</c:v>
                </c:pt>
                <c:pt idx="9">
                  <c:v>0.13515106038801633</c:v>
                </c:pt>
                <c:pt idx="10">
                  <c:v>0.14257378638559648</c:v>
                </c:pt>
                <c:pt idx="11">
                  <c:v>0.14271846753477493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'FY2014'!$B$128:$B$139</c:f>
              <c:numCache>
                <c:formatCode>"$"#,##0.000</c:formatCode>
                <c:ptCount val="12"/>
                <c:pt idx="0">
                  <c:v>0.13603465799063749</c:v>
                </c:pt>
                <c:pt idx="1">
                  <c:v>0.13556923905977514</c:v>
                </c:pt>
                <c:pt idx="2">
                  <c:v>0.13755745572130895</c:v>
                </c:pt>
                <c:pt idx="3">
                  <c:v>0.13015898535930095</c:v>
                </c:pt>
                <c:pt idx="4">
                  <c:v>0.13012209533520996</c:v>
                </c:pt>
                <c:pt idx="5">
                  <c:v>0.12754126216117204</c:v>
                </c:pt>
                <c:pt idx="6">
                  <c:v>0.12958293445581451</c:v>
                </c:pt>
                <c:pt idx="7">
                  <c:v>0.13546776382930897</c:v>
                </c:pt>
                <c:pt idx="8">
                  <c:v>0.13117786662315056</c:v>
                </c:pt>
                <c:pt idx="9">
                  <c:v>0.12930807013800655</c:v>
                </c:pt>
                <c:pt idx="10">
                  <c:v>0.13166474402010042</c:v>
                </c:pt>
                <c:pt idx="11">
                  <c:v>0.1355854363512207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'FY2013'!$B$128:$B$139</c:f>
              <c:numCache>
                <c:formatCode>"$"#,##0.000</c:formatCode>
                <c:ptCount val="12"/>
                <c:pt idx="0">
                  <c:v>0.1324117323875196</c:v>
                </c:pt>
                <c:pt idx="1">
                  <c:v>0.13314241338693128</c:v>
                </c:pt>
                <c:pt idx="2">
                  <c:v>0.13592377648785006</c:v>
                </c:pt>
                <c:pt idx="3">
                  <c:v>0.13027852228258635</c:v>
                </c:pt>
                <c:pt idx="4">
                  <c:v>0.12791124555353051</c:v>
                </c:pt>
                <c:pt idx="5">
                  <c:v>0.12607106784581182</c:v>
                </c:pt>
                <c:pt idx="6">
                  <c:v>0.1262287138574075</c:v>
                </c:pt>
                <c:pt idx="7">
                  <c:v>0.12503046611448751</c:v>
                </c:pt>
                <c:pt idx="8">
                  <c:v>0.13011263873130652</c:v>
                </c:pt>
                <c:pt idx="9">
                  <c:v>0.13239724744507911</c:v>
                </c:pt>
                <c:pt idx="10">
                  <c:v>0.13241759657467059</c:v>
                </c:pt>
                <c:pt idx="11">
                  <c:v>0.13551222682401085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'FY2012'!$B$136:$B$147</c:f>
              <c:numCache>
                <c:formatCode>"$"#,##0.000</c:formatCode>
                <c:ptCount val="12"/>
                <c:pt idx="0">
                  <c:v>0.10991224909688312</c:v>
                </c:pt>
                <c:pt idx="1">
                  <c:v>0.11399001248176155</c:v>
                </c:pt>
                <c:pt idx="2">
                  <c:v>0.11529737532985765</c:v>
                </c:pt>
                <c:pt idx="3">
                  <c:v>0.11032645399014486</c:v>
                </c:pt>
                <c:pt idx="4">
                  <c:v>0.11007253724650976</c:v>
                </c:pt>
                <c:pt idx="5">
                  <c:v>0.10861759088126574</c:v>
                </c:pt>
                <c:pt idx="6">
                  <c:v>0.11793840684005384</c:v>
                </c:pt>
                <c:pt idx="7">
                  <c:v>0.11965308347405625</c:v>
                </c:pt>
                <c:pt idx="8">
                  <c:v>0.12375135639192583</c:v>
                </c:pt>
                <c:pt idx="9">
                  <c:v>0.12186296533720084</c:v>
                </c:pt>
                <c:pt idx="10">
                  <c:v>0.12537020321492784</c:v>
                </c:pt>
                <c:pt idx="11">
                  <c:v>0.13383184114968738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'FY2011'!$B$137:$B$148</c:f>
              <c:numCache>
                <c:formatCode>"$"#,##0.000</c:formatCode>
                <c:ptCount val="12"/>
                <c:pt idx="0">
                  <c:v>0.119296303807607</c:v>
                </c:pt>
                <c:pt idx="1">
                  <c:v>0.11249727117018403</c:v>
                </c:pt>
                <c:pt idx="2">
                  <c:v>0.11966140192577281</c:v>
                </c:pt>
                <c:pt idx="3">
                  <c:v>0.10696679298186129</c:v>
                </c:pt>
                <c:pt idx="4">
                  <c:v>0.11025515221312465</c:v>
                </c:pt>
                <c:pt idx="5">
                  <c:v>0.10995166211103263</c:v>
                </c:pt>
                <c:pt idx="6">
                  <c:v>0.11333602846424273</c:v>
                </c:pt>
                <c:pt idx="7">
                  <c:v>0.11410374581131692</c:v>
                </c:pt>
                <c:pt idx="8">
                  <c:v>0.1151766444617735</c:v>
                </c:pt>
                <c:pt idx="9">
                  <c:v>0.11247205692520577</c:v>
                </c:pt>
                <c:pt idx="10">
                  <c:v>0.11099978691895464</c:v>
                </c:pt>
                <c:pt idx="11">
                  <c:v>0.11301192564256064</c:v>
                </c:pt>
              </c:numCache>
            </c:numRef>
          </c:val>
          <c:smooth val="0"/>
        </c:ser>
        <c:ser>
          <c:idx val="5"/>
          <c:order val="5"/>
          <c:tx>
            <c:v>Credit 2016</c:v>
          </c:tx>
          <c:val>
            <c:numRef>
              <c:f>'FY2016'!$B$135:$B$146</c:f>
              <c:numCache>
                <c:formatCode>"$"#,##0.000</c:formatCode>
                <c:ptCount val="12"/>
                <c:pt idx="0">
                  <c:v>0.1475659676637294</c:v>
                </c:pt>
                <c:pt idx="1">
                  <c:v>0.1402830911432621</c:v>
                </c:pt>
                <c:pt idx="2">
                  <c:v>0.14418103543260002</c:v>
                </c:pt>
                <c:pt idx="3">
                  <c:v>0.14064457090038698</c:v>
                </c:pt>
                <c:pt idx="4">
                  <c:v>0.13727708019186338</c:v>
                </c:pt>
                <c:pt idx="5">
                  <c:v>0.1347994425455557</c:v>
                </c:pt>
                <c:pt idx="6">
                  <c:v>0.1441132338897386</c:v>
                </c:pt>
                <c:pt idx="7">
                  <c:v>0.14015621867176892</c:v>
                </c:pt>
                <c:pt idx="8">
                  <c:v>0.14329047987913876</c:v>
                </c:pt>
                <c:pt idx="9">
                  <c:v>0.14536762653863014</c:v>
                </c:pt>
                <c:pt idx="10">
                  <c:v>0.145500855270564</c:v>
                </c:pt>
                <c:pt idx="11">
                  <c:v>0.15260980634579038</c:v>
                </c:pt>
              </c:numCache>
            </c:numRef>
          </c:val>
          <c:smooth val="0"/>
        </c:ser>
        <c:ser>
          <c:idx val="6"/>
          <c:order val="6"/>
          <c:tx>
            <c:v>Credit 2017</c:v>
          </c:tx>
          <c:val>
            <c:numRef>
              <c:f>'FY2017'!$B$135:$B$147</c:f>
              <c:numCache>
                <c:formatCode>_("$"* #,##0.00_);_("$"* \(#,##0.00\);_("$"* "-"??_);_(@_)</c:formatCode>
                <c:ptCount val="13"/>
                <c:pt idx="0">
                  <c:v>0.14952675667880191</c:v>
                </c:pt>
                <c:pt idx="1">
                  <c:v>0.22935021915067894</c:v>
                </c:pt>
                <c:pt idx="2">
                  <c:v>0.1605272963897473</c:v>
                </c:pt>
                <c:pt idx="3">
                  <c:v>0.15075015227144029</c:v>
                </c:pt>
                <c:pt idx="4">
                  <c:v>0.14463137076248642</c:v>
                </c:pt>
                <c:pt idx="5">
                  <c:v>0.14864792460855661</c:v>
                </c:pt>
                <c:pt idx="6">
                  <c:v>0.15354763388787354</c:v>
                </c:pt>
                <c:pt idx="7">
                  <c:v>0.15305718547606262</c:v>
                </c:pt>
                <c:pt idx="8">
                  <c:v>0.15350325549695465</c:v>
                </c:pt>
                <c:pt idx="9" formatCode="&quot;$&quot;#,##0.000">
                  <c:v>0.14546615812268232</c:v>
                </c:pt>
                <c:pt idx="10" formatCode="&quot;$&quot;#,##0.000">
                  <c:v>0</c:v>
                </c:pt>
                <c:pt idx="11" formatCode="&quot;$&quot;#,##0.000">
                  <c:v>0</c:v>
                </c:pt>
                <c:pt idx="12" formatCode="&quot;$&quot;#,##0.0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57472"/>
        <c:axId val="80059008"/>
      </c:lineChart>
      <c:dateAx>
        <c:axId val="800574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59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059008"/>
        <c:scaling>
          <c:orientation val="minMax"/>
          <c:min val="9.0000000000000024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57472"/>
        <c:crosses val="autoZero"/>
        <c:crossBetween val="between"/>
        <c:majorUnit val="1.0000000000000005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602919489411858E-2"/>
          <c:y val="0.84756456692913351"/>
          <c:w val="0.90333943392211113"/>
          <c:h val="0.152435501117915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Ticket
FY2013 Trend</a:t>
            </a:r>
          </a:p>
        </c:rich>
      </c:tx>
      <c:layout>
        <c:manualLayout>
          <c:xMode val="edge"/>
          <c:yMode val="edge"/>
          <c:x val="0.40236973463607251"/>
          <c:y val="4.2416130986109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076923076924"/>
          <c:y val="0.30633802816901823"/>
          <c:w val="0.74291497975708498"/>
          <c:h val="0.38732394366197748"/>
        </c:manualLayout>
      </c:layout>
      <c:lineChart>
        <c:grouping val="standard"/>
        <c:varyColors val="0"/>
        <c:ser>
          <c:idx val="1"/>
          <c:order val="0"/>
          <c:tx>
            <c:v>PIN Debit 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'FY2013'!$A$42:$A$53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'FY2013'!$C$42:$C$53</c:f>
              <c:numCache>
                <c:formatCode>"$"#,##0.00</c:formatCode>
                <c:ptCount val="12"/>
                <c:pt idx="0">
                  <c:v>71.531331869495034</c:v>
                </c:pt>
                <c:pt idx="1">
                  <c:v>74.151397463108168</c:v>
                </c:pt>
                <c:pt idx="2">
                  <c:v>77.257132373990302</c:v>
                </c:pt>
                <c:pt idx="3">
                  <c:v>71.099697554860896</c:v>
                </c:pt>
                <c:pt idx="4">
                  <c:v>73.923200983222529</c:v>
                </c:pt>
                <c:pt idx="5">
                  <c:v>73.452301340550662</c:v>
                </c:pt>
                <c:pt idx="6">
                  <c:v>69.964863140436705</c:v>
                </c:pt>
                <c:pt idx="7">
                  <c:v>70.138082945474522</c:v>
                </c:pt>
                <c:pt idx="8">
                  <c:v>71.743598556777542</c:v>
                </c:pt>
                <c:pt idx="9">
                  <c:v>73.029976033962313</c:v>
                </c:pt>
                <c:pt idx="10">
                  <c:v>74.527008679529445</c:v>
                </c:pt>
                <c:pt idx="11">
                  <c:v>71.858288281872149</c:v>
                </c:pt>
              </c:numCache>
            </c:numRef>
          </c:val>
          <c:smooth val="0"/>
        </c:ser>
        <c:ser>
          <c:idx val="0"/>
          <c:order val="1"/>
          <c:tx>
            <c:v>PIN Debit 2012</c:v>
          </c:tx>
          <c:cat>
            <c:numRef>
              <c:f>'FY2013'!$A$42:$A$53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'FY2012'!$C$50:$C$61</c:f>
              <c:numCache>
                <c:formatCode>"$"#,##0.00</c:formatCode>
                <c:ptCount val="12"/>
                <c:pt idx="0">
                  <c:v>74.513028556565985</c:v>
                </c:pt>
                <c:pt idx="1">
                  <c:v>75.040252533115918</c:v>
                </c:pt>
                <c:pt idx="2">
                  <c:v>77.628981041699859</c:v>
                </c:pt>
                <c:pt idx="3">
                  <c:v>74.220393747850551</c:v>
                </c:pt>
                <c:pt idx="4">
                  <c:v>75.204442269236168</c:v>
                </c:pt>
                <c:pt idx="5">
                  <c:v>73.442640684940415</c:v>
                </c:pt>
                <c:pt idx="6">
                  <c:v>73.00097182129538</c:v>
                </c:pt>
                <c:pt idx="7">
                  <c:v>71.804025371561394</c:v>
                </c:pt>
                <c:pt idx="8">
                  <c:v>73.065851685756627</c:v>
                </c:pt>
                <c:pt idx="9">
                  <c:v>72.261321238961003</c:v>
                </c:pt>
                <c:pt idx="10">
                  <c:v>71.77786742178931</c:v>
                </c:pt>
                <c:pt idx="11">
                  <c:v>73.932130116771461</c:v>
                </c:pt>
              </c:numCache>
            </c:numRef>
          </c:val>
          <c:smooth val="0"/>
        </c:ser>
        <c:ser>
          <c:idx val="3"/>
          <c:order val="2"/>
          <c:tx>
            <c:v>Pin Debit 2011</c:v>
          </c:tx>
          <c:cat>
            <c:numRef>
              <c:f>'FY2013'!$A$42:$A$53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'FY2011'!$C$51:$C$62</c:f>
              <c:numCache>
                <c:formatCode>"$"#,##0.00</c:formatCode>
                <c:ptCount val="12"/>
                <c:pt idx="0">
                  <c:v>74.694063147862266</c:v>
                </c:pt>
                <c:pt idx="1">
                  <c:v>74.700265331452968</c:v>
                </c:pt>
                <c:pt idx="2">
                  <c:v>76.953366410678626</c:v>
                </c:pt>
                <c:pt idx="3">
                  <c:v>75.075288726223746</c:v>
                </c:pt>
                <c:pt idx="4">
                  <c:v>74.848142617174119</c:v>
                </c:pt>
                <c:pt idx="5">
                  <c:v>73.097539944886577</c:v>
                </c:pt>
                <c:pt idx="6">
                  <c:v>74.291772227570604</c:v>
                </c:pt>
                <c:pt idx="7">
                  <c:v>73.889229022099443</c:v>
                </c:pt>
                <c:pt idx="8">
                  <c:v>72.608130704620123</c:v>
                </c:pt>
                <c:pt idx="9">
                  <c:v>74.974760464383408</c:v>
                </c:pt>
                <c:pt idx="10">
                  <c:v>73.221295087386395</c:v>
                </c:pt>
                <c:pt idx="11">
                  <c:v>74.664125337925867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48160"/>
        <c:axId val="112354048"/>
      </c:lineChart>
      <c:dateAx>
        <c:axId val="1123481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540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354048"/>
        <c:scaling>
          <c:orientation val="minMax"/>
          <c:max val="80"/>
          <c:min val="6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69696969739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48160"/>
        <c:crosses val="autoZero"/>
        <c:crossBetween val="between"/>
        <c:majorUnit val="2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406682233331388"/>
          <c:y val="0.83481291885660658"/>
          <c:w val="0.74254933971221659"/>
          <c:h val="0.11059651042379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FY2013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51"/>
          <c:w val="0.81174089068826882"/>
          <c:h val="0.40023728115914958"/>
        </c:manualLayout>
      </c:layout>
      <c:lineChart>
        <c:grouping val="standard"/>
        <c:varyColors val="0"/>
        <c:ser>
          <c:idx val="1"/>
          <c:order val="0"/>
          <c:tx>
            <c:v>PIN Debit 2013</c:v>
          </c:tx>
          <c:spPr>
            <a:ln w="12700"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cat>
            <c:numRef>
              <c:f>'FY2013'!$A$128:$A$139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'FY2013'!$C$128:$C$139</c:f>
              <c:numCache>
                <c:formatCode>"$"#,##0.000</c:formatCode>
                <c:ptCount val="12"/>
                <c:pt idx="0">
                  <c:v>3.4924660237043437E-2</c:v>
                </c:pt>
                <c:pt idx="1">
                  <c:v>3.503222953628124E-2</c:v>
                </c:pt>
                <c:pt idx="2">
                  <c:v>3.4534808001367989E-2</c:v>
                </c:pt>
                <c:pt idx="3">
                  <c:v>3.4563241102860673E-2</c:v>
                </c:pt>
                <c:pt idx="4">
                  <c:v>3.5088209578171131E-2</c:v>
                </c:pt>
                <c:pt idx="5">
                  <c:v>3.4510003150898208E-2</c:v>
                </c:pt>
                <c:pt idx="6">
                  <c:v>3.294305362226839E-2</c:v>
                </c:pt>
                <c:pt idx="7">
                  <c:v>3.3103235169285219E-2</c:v>
                </c:pt>
                <c:pt idx="8">
                  <c:v>3.0696698233616846E-2</c:v>
                </c:pt>
                <c:pt idx="9">
                  <c:v>3.1186492324859462E-2</c:v>
                </c:pt>
                <c:pt idx="10">
                  <c:v>3.646699419088606E-2</c:v>
                </c:pt>
                <c:pt idx="11">
                  <c:v>2.9084935223012785E-2</c:v>
                </c:pt>
              </c:numCache>
            </c:numRef>
          </c:val>
          <c:smooth val="0"/>
        </c:ser>
        <c:ser>
          <c:idx val="0"/>
          <c:order val="1"/>
          <c:tx>
            <c:v>PIN Debit 2012</c:v>
          </c:tx>
          <c:cat>
            <c:numRef>
              <c:f>'FY2013'!$A$128:$A$139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'FY2012'!$C$136:$C$147</c:f>
              <c:numCache>
                <c:formatCode>"$"#,##0.000</c:formatCode>
                <c:ptCount val="12"/>
                <c:pt idx="0">
                  <c:v>3.5194163996107787E-2</c:v>
                </c:pt>
                <c:pt idx="1">
                  <c:v>3.6547658053103262E-2</c:v>
                </c:pt>
                <c:pt idx="2">
                  <c:v>3.6635089924562415E-2</c:v>
                </c:pt>
                <c:pt idx="3">
                  <c:v>3.6152357029197946E-2</c:v>
                </c:pt>
                <c:pt idx="4">
                  <c:v>3.5932402078226171E-2</c:v>
                </c:pt>
                <c:pt idx="5">
                  <c:v>3.6569524422945053E-2</c:v>
                </c:pt>
                <c:pt idx="6">
                  <c:v>3.5647073148542457E-2</c:v>
                </c:pt>
                <c:pt idx="7">
                  <c:v>3.5495024508114141E-2</c:v>
                </c:pt>
                <c:pt idx="8">
                  <c:v>3.5061107000456983E-2</c:v>
                </c:pt>
                <c:pt idx="9">
                  <c:v>3.4092608089641499E-2</c:v>
                </c:pt>
                <c:pt idx="10">
                  <c:v>3.5175054498354681E-2</c:v>
                </c:pt>
                <c:pt idx="11">
                  <c:v>3.3637815988707791E-2</c:v>
                </c:pt>
              </c:numCache>
            </c:numRef>
          </c:val>
          <c:smooth val="0"/>
        </c:ser>
        <c:ser>
          <c:idx val="3"/>
          <c:order val="2"/>
          <c:tx>
            <c:v>PIN Debit 2011</c:v>
          </c:tx>
          <c:cat>
            <c:numRef>
              <c:f>'FY2013'!$A$128:$A$139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'FY2011'!$C$137:$C$148</c:f>
              <c:numCache>
                <c:formatCode>"$"#,##0.00</c:formatCode>
                <c:ptCount val="12"/>
                <c:pt idx="4" formatCode="&quot;$&quot;#,##0.000">
                  <c:v>3.7642588727187475E-2</c:v>
                </c:pt>
                <c:pt idx="5" formatCode="&quot;$&quot;#,##0.000">
                  <c:v>3.8351881843550345E-2</c:v>
                </c:pt>
                <c:pt idx="6" formatCode="&quot;$&quot;#,##0.000">
                  <c:v>3.6900960989662487E-2</c:v>
                </c:pt>
                <c:pt idx="7" formatCode="&quot;$&quot;#,##0.000">
                  <c:v>3.5017458030748683E-2</c:v>
                </c:pt>
                <c:pt idx="8" formatCode="&quot;$&quot;#,##0.000">
                  <c:v>3.6444893635092387E-2</c:v>
                </c:pt>
                <c:pt idx="9" formatCode="&quot;$&quot;#,##0.000">
                  <c:v>3.6197418252775476E-2</c:v>
                </c:pt>
                <c:pt idx="10" formatCode="&quot;$&quot;#,##0.000">
                  <c:v>3.6242875435007108E-2</c:v>
                </c:pt>
                <c:pt idx="11" formatCode="&quot;$&quot;#,##0.000">
                  <c:v>3.9573241657216082E-2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6928"/>
        <c:axId val="112411008"/>
      </c:lineChart>
      <c:dateAx>
        <c:axId val="1123969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1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411008"/>
        <c:scaling>
          <c:orientation val="minMax"/>
          <c:max val="4.0000000000000022E-2"/>
          <c:min val="2.400000000000001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96928"/>
        <c:crosses val="autoZero"/>
        <c:crossBetween val="between"/>
        <c:majorUnit val="2.0000000000000052E-3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390542614256906"/>
          <c:y val="0.84756456692913351"/>
          <c:w val="0.7416283272625811"/>
          <c:h val="0.11743543307086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PCI Assist
FY2013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4"/>
          <c:y val="0.30526420389325243"/>
          <c:w val="0.81274979452289953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v>Compliant Agencies 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'FY2013'!$A$223:$A$234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'FY2013'!$D$223:$D$234</c:f>
              <c:numCache>
                <c:formatCode>#,##0</c:formatCode>
                <c:ptCount val="12"/>
                <c:pt idx="0">
                  <c:v>224</c:v>
                </c:pt>
                <c:pt idx="1">
                  <c:v>240</c:v>
                </c:pt>
                <c:pt idx="2">
                  <c:v>243</c:v>
                </c:pt>
                <c:pt idx="3">
                  <c:v>240</c:v>
                </c:pt>
                <c:pt idx="4">
                  <c:v>240</c:v>
                </c:pt>
                <c:pt idx="5">
                  <c:v>248</c:v>
                </c:pt>
                <c:pt idx="6">
                  <c:v>249</c:v>
                </c:pt>
                <c:pt idx="7">
                  <c:v>256</c:v>
                </c:pt>
                <c:pt idx="8">
                  <c:v>268</c:v>
                </c:pt>
                <c:pt idx="9">
                  <c:v>274</c:v>
                </c:pt>
                <c:pt idx="10">
                  <c:v>276</c:v>
                </c:pt>
                <c:pt idx="11">
                  <c:v>275</c:v>
                </c:pt>
              </c:numCache>
            </c:numRef>
          </c:val>
          <c:smooth val="0"/>
        </c:ser>
        <c:ser>
          <c:idx val="1"/>
          <c:order val="1"/>
          <c:tx>
            <c:v>Compliant Agencies 2012</c:v>
          </c:tx>
          <c:marker>
            <c:symbol val="square"/>
            <c:size val="5"/>
          </c:marker>
          <c:cat>
            <c:numRef>
              <c:f>'FY2013'!$A$223:$A$234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'FY2012'!$D$211:$D$222</c:f>
              <c:numCache>
                <c:formatCode>#,##0</c:formatCode>
                <c:ptCount val="12"/>
                <c:pt idx="0">
                  <c:v>14</c:v>
                </c:pt>
                <c:pt idx="1">
                  <c:v>27</c:v>
                </c:pt>
                <c:pt idx="2">
                  <c:v>38</c:v>
                </c:pt>
                <c:pt idx="3">
                  <c:v>48</c:v>
                </c:pt>
                <c:pt idx="4">
                  <c:v>66</c:v>
                </c:pt>
                <c:pt idx="5">
                  <c:v>125</c:v>
                </c:pt>
                <c:pt idx="6">
                  <c:v>173</c:v>
                </c:pt>
                <c:pt idx="7">
                  <c:v>178</c:v>
                </c:pt>
                <c:pt idx="8">
                  <c:v>197</c:v>
                </c:pt>
                <c:pt idx="9">
                  <c:v>197</c:v>
                </c:pt>
                <c:pt idx="10">
                  <c:v>206</c:v>
                </c:pt>
                <c:pt idx="11">
                  <c:v>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4544"/>
        <c:axId val="112446080"/>
      </c:lineChart>
      <c:dateAx>
        <c:axId val="1124445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46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44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44544"/>
        <c:crosses val="autoZero"/>
        <c:crossBetween val="between"/>
        <c:maj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3389695220918"/>
          <c:y val="0.86223140714640312"/>
          <c:w val="0.66015291560278666"/>
          <c:h val="6.21903450187538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landscape" horizontalDpi="-3" verticalDpi="1200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Mobile Device Sales Volume
FY2013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3"/>
          <c:y val="0.30526420389325287"/>
          <c:w val="0.81274979452290019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v>Mobile Sales 2013</c:v>
          </c:tx>
          <c:cat>
            <c:numRef>
              <c:f>'FY2013'!$A$203:$A$214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'FY2013'!$D$203:$D$214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167</c:v>
                </c:pt>
                <c:pt idx="7">
                  <c:v>751</c:v>
                </c:pt>
                <c:pt idx="8">
                  <c:v>2</c:v>
                </c:pt>
                <c:pt idx="9">
                  <c:v>492.5</c:v>
                </c:pt>
                <c:pt idx="10">
                  <c:v>200</c:v>
                </c:pt>
                <c:pt idx="11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34208"/>
        <c:axId val="113140096"/>
      </c:lineChart>
      <c:dateAx>
        <c:axId val="1131342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400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14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34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3389695220932"/>
          <c:y val="0.86223140714640356"/>
          <c:w val="0.52639036272205908"/>
          <c:h val="4.94789497665439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66" r="0.75000000000001166" t="1" header="0.5" footer="0.5"/>
    <c:pageSetup orientation="landscape" horizontalDpi="-3" verticalDpi="1200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Level 1, 2,</a:t>
            </a:r>
            <a:r>
              <a:rPr lang="en-US" baseline="0"/>
              <a:t> and 3 PCI Compliance</a:t>
            </a:r>
            <a:r>
              <a:rPr lang="en-US"/>
              <a:t>
FY2013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7"/>
          <c:y val="0.30526420389325265"/>
          <c:w val="0.81274979452289986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strRef>
              <c:f>'FY2013'!$D$238</c:f>
              <c:strCache>
                <c:ptCount val="1"/>
                <c:pt idx="0">
                  <c:v>Level 1 % Compliant </c:v>
                </c:pt>
              </c:strCache>
            </c:strRef>
          </c:tx>
          <c:cat>
            <c:numRef>
              <c:f>'FY2013'!$A$239:$A$250</c:f>
              <c:numCache>
                <c:formatCode>mmm\-yy</c:formatCode>
                <c:ptCount val="12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</c:numCache>
            </c:numRef>
          </c:cat>
          <c:val>
            <c:numRef>
              <c:f>'FY2013'!$D$239:$D$250</c:f>
              <c:numCache>
                <c:formatCode>0%</c:formatCode>
                <c:ptCount val="1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'FY2013'!$H$238</c:f>
              <c:strCache>
                <c:ptCount val="1"/>
                <c:pt idx="0">
                  <c:v>Level 2 % Compliant </c:v>
                </c:pt>
              </c:strCache>
            </c:strRef>
          </c:tx>
          <c:cat>
            <c:numRef>
              <c:f>'FY2013'!$A$239:$A$250</c:f>
              <c:numCache>
                <c:formatCode>mmm\-yy</c:formatCode>
                <c:ptCount val="12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</c:numCache>
            </c:numRef>
          </c:cat>
          <c:val>
            <c:numRef>
              <c:f>'FY2013'!$H$239:$H$250</c:f>
              <c:numCache>
                <c:formatCode>0%</c:formatCode>
                <c:ptCount val="12"/>
                <c:pt idx="0">
                  <c:v>0.6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'FY2013'!$K$238</c:f>
              <c:strCache>
                <c:ptCount val="1"/>
                <c:pt idx="0">
                  <c:v>Level 3 % Compliant </c:v>
                </c:pt>
              </c:strCache>
            </c:strRef>
          </c:tx>
          <c:cat>
            <c:numRef>
              <c:f>'FY2013'!$A$239:$A$250</c:f>
              <c:numCache>
                <c:formatCode>mmm\-yy</c:formatCode>
                <c:ptCount val="12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</c:numCache>
            </c:numRef>
          </c:cat>
          <c:val>
            <c:numRef>
              <c:f>'FY2013'!$K$239:$K$250</c:f>
              <c:numCache>
                <c:formatCode>0%</c:formatCode>
                <c:ptCount val="12"/>
                <c:pt idx="0">
                  <c:v>0.59259259259259256</c:v>
                </c:pt>
                <c:pt idx="1">
                  <c:v>0.6785714285714286</c:v>
                </c:pt>
                <c:pt idx="2">
                  <c:v>0.6428571428571429</c:v>
                </c:pt>
                <c:pt idx="3">
                  <c:v>0.75</c:v>
                </c:pt>
                <c:pt idx="4">
                  <c:v>0.8571428571428571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70304"/>
        <c:axId val="113171840"/>
      </c:lineChart>
      <c:dateAx>
        <c:axId val="1131703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71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171840"/>
        <c:scaling>
          <c:orientation val="minMax"/>
          <c:max val="1"/>
          <c:min val="0.3000000000000003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70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38582677165317"/>
          <c:y val="0.86223140714640334"/>
          <c:w val="0.66472267543134034"/>
          <c:h val="8.4044494438195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landscape" horizontalDpi="-3" verticalDpi="1200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Ticket
FY2012 Trend</a:t>
            </a:r>
          </a:p>
        </c:rich>
      </c:tx>
      <c:layout>
        <c:manualLayout>
          <c:xMode val="edge"/>
          <c:yMode val="edge"/>
          <c:x val="0.40236973463607251"/>
          <c:y val="4.24161309861091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076923076924"/>
          <c:y val="0.30633802816901801"/>
          <c:w val="0.74291497975708498"/>
          <c:h val="0.38732394366197714"/>
        </c:manualLayout>
      </c:layout>
      <c:lineChart>
        <c:grouping val="standard"/>
        <c:varyColors val="0"/>
        <c:ser>
          <c:idx val="0"/>
          <c:order val="0"/>
          <c:tx>
            <c:v>Credit 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'FY2012'!$A$50:$A$61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'FY2012'!$B$50:$B$61</c:f>
              <c:numCache>
                <c:formatCode>"$"#,##0.00</c:formatCode>
                <c:ptCount val="12"/>
                <c:pt idx="0">
                  <c:v>104.87587176416146</c:v>
                </c:pt>
                <c:pt idx="1">
                  <c:v>109.2566506558461</c:v>
                </c:pt>
                <c:pt idx="2">
                  <c:v>110.95790560242735</c:v>
                </c:pt>
                <c:pt idx="3">
                  <c:v>102.89695577184769</c:v>
                </c:pt>
                <c:pt idx="4">
                  <c:v>102.1088657087537</c:v>
                </c:pt>
                <c:pt idx="5">
                  <c:v>101.74116735632047</c:v>
                </c:pt>
                <c:pt idx="6">
                  <c:v>100.43686669052492</c:v>
                </c:pt>
                <c:pt idx="7">
                  <c:v>101.44484342424789</c:v>
                </c:pt>
                <c:pt idx="8">
                  <c:v>104.31766663771906</c:v>
                </c:pt>
                <c:pt idx="9">
                  <c:v>101.48431555141299</c:v>
                </c:pt>
                <c:pt idx="10">
                  <c:v>106.13461639796768</c:v>
                </c:pt>
                <c:pt idx="11">
                  <c:v>108.00339959458545</c:v>
                </c:pt>
              </c:numCache>
            </c:numRef>
          </c:val>
          <c:smooth val="0"/>
        </c:ser>
        <c:ser>
          <c:idx val="2"/>
          <c:order val="1"/>
          <c:tx>
            <c:v>Credit 2011</c:v>
          </c:tx>
          <c:val>
            <c:numRef>
              <c:f>'FY2011'!$B$51:$B$62</c:f>
              <c:numCache>
                <c:formatCode>"$"#,##0.00</c:formatCode>
                <c:ptCount val="12"/>
                <c:pt idx="0">
                  <c:v>117.94980015050862</c:v>
                </c:pt>
                <c:pt idx="1">
                  <c:v>108.14084366073983</c:v>
                </c:pt>
                <c:pt idx="2">
                  <c:v>116.75032527006751</c:v>
                </c:pt>
                <c:pt idx="3">
                  <c:v>104.64912960165499</c:v>
                </c:pt>
                <c:pt idx="4">
                  <c:v>103.17269576832263</c:v>
                </c:pt>
                <c:pt idx="5">
                  <c:v>103.34002475839274</c:v>
                </c:pt>
                <c:pt idx="6">
                  <c:v>108.58253865644565</c:v>
                </c:pt>
                <c:pt idx="7">
                  <c:v>107.75404068824753</c:v>
                </c:pt>
                <c:pt idx="8">
                  <c:v>109.49560837238501</c:v>
                </c:pt>
                <c:pt idx="9">
                  <c:v>106.39337916436747</c:v>
                </c:pt>
                <c:pt idx="10">
                  <c:v>103.10412311822802</c:v>
                </c:pt>
                <c:pt idx="11">
                  <c:v>107.68393004049138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8016"/>
        <c:axId val="106039552"/>
      </c:lineChart>
      <c:dateAx>
        <c:axId val="1060380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395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6039552"/>
        <c:scaling>
          <c:orientation val="minMax"/>
          <c:max val="12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69696969736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38016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718289385543918"/>
          <c:y val="0.85466403548191761"/>
          <c:w val="0.52071728482672786"/>
          <c:h val="9.57081729548077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portrait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Sales Dollars
FY2012 Trend</a:t>
            </a:r>
          </a:p>
        </c:rich>
      </c:tx>
      <c:layout>
        <c:manualLayout>
          <c:xMode val="edge"/>
          <c:yMode val="edge"/>
          <c:x val="0.3140000000000035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0000000000041"/>
          <c:y val="0.32089610704311089"/>
          <c:w val="0.72200000000000064"/>
          <c:h val="0.37313500818966261"/>
        </c:manualLayout>
      </c:layout>
      <c:lineChart>
        <c:grouping val="standard"/>
        <c:varyColors val="0"/>
        <c:ser>
          <c:idx val="0"/>
          <c:order val="0"/>
          <c:tx>
            <c:v>Credit 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'FY2012'!$A$17:$A$28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'FY2012'!$B$17:$B$28</c:f>
              <c:numCache>
                <c:formatCode>_("$"* #,##0_);_("$"* \(#,##0\);_("$"* "-"??_);_(@_)</c:formatCode>
                <c:ptCount val="12"/>
                <c:pt idx="0">
                  <c:v>628448001</c:v>
                </c:pt>
                <c:pt idx="1">
                  <c:v>621659635.08000004</c:v>
                </c:pt>
                <c:pt idx="2">
                  <c:v>656784254</c:v>
                </c:pt>
                <c:pt idx="3">
                  <c:v>610669972</c:v>
                </c:pt>
                <c:pt idx="4">
                  <c:v>626246437</c:v>
                </c:pt>
                <c:pt idx="5">
                  <c:v>691400416.17999995</c:v>
                </c:pt>
                <c:pt idx="6">
                  <c:v>645492676.69000006</c:v>
                </c:pt>
                <c:pt idx="7">
                  <c:v>718060180</c:v>
                </c:pt>
                <c:pt idx="8">
                  <c:v>742356437</c:v>
                </c:pt>
                <c:pt idx="9">
                  <c:v>710657823</c:v>
                </c:pt>
                <c:pt idx="10">
                  <c:v>753939134.65999997</c:v>
                </c:pt>
                <c:pt idx="11">
                  <c:v>684600825</c:v>
                </c:pt>
              </c:numCache>
            </c:numRef>
          </c:val>
          <c:smooth val="0"/>
        </c:ser>
        <c:ser>
          <c:idx val="2"/>
          <c:order val="1"/>
          <c:tx>
            <c:v>Credit 2011</c:v>
          </c:tx>
          <c:val>
            <c:numRef>
              <c:f>'FY2011'!$B$18:$B$29</c:f>
              <c:numCache>
                <c:formatCode>_("$"* #,##0_);_("$"* \(#,##0\);_("$"* "-"??_);_(@_)</c:formatCode>
                <c:ptCount val="12"/>
                <c:pt idx="0">
                  <c:v>643239706.91999936</c:v>
                </c:pt>
                <c:pt idx="1">
                  <c:v>563623696.85000002</c:v>
                </c:pt>
                <c:pt idx="2">
                  <c:v>644106174</c:v>
                </c:pt>
                <c:pt idx="3">
                  <c:v>572836045</c:v>
                </c:pt>
                <c:pt idx="4">
                  <c:v>568963267</c:v>
                </c:pt>
                <c:pt idx="5">
                  <c:v>660066737</c:v>
                </c:pt>
                <c:pt idx="6">
                  <c:v>664490173</c:v>
                </c:pt>
                <c:pt idx="7">
                  <c:v>677854809</c:v>
                </c:pt>
                <c:pt idx="8">
                  <c:v>714424682</c:v>
                </c:pt>
                <c:pt idx="9">
                  <c:v>728432697</c:v>
                </c:pt>
                <c:pt idx="10">
                  <c:v>677421927</c:v>
                </c:pt>
                <c:pt idx="11">
                  <c:v>667170972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98048"/>
        <c:axId val="106099840"/>
      </c:lineChart>
      <c:dateAx>
        <c:axId val="1060980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9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6099840"/>
        <c:scaling>
          <c:orientation val="minMax"/>
          <c:max val="750000000"/>
          <c:min val="500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6.3590232285929823E-3"/>
              <c:y val="0.488806764020831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8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40986876641038"/>
          <c:y val="0.88112975468455124"/>
          <c:w val="0.45028010498687682"/>
          <c:h val="7.90694659466579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Number of Transactions
FY2012</a:t>
            </a:r>
            <a:r>
              <a:rPr lang="en-US" baseline="0"/>
              <a:t> </a:t>
            </a:r>
            <a:r>
              <a:rPr lang="en-US"/>
              <a:t>Trend</a:t>
            </a:r>
          </a:p>
        </c:rich>
      </c:tx>
      <c:layout>
        <c:manualLayout>
          <c:xMode val="edge"/>
          <c:yMode val="edge"/>
          <c:x val="0.31388329979879803"/>
          <c:y val="3.74531835205998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25"/>
          <c:w val="0.74446680080482897"/>
          <c:h val="0.37078787302447708"/>
        </c:manualLayout>
      </c:layout>
      <c:lineChart>
        <c:grouping val="standard"/>
        <c:varyColors val="0"/>
        <c:ser>
          <c:idx val="0"/>
          <c:order val="0"/>
          <c:tx>
            <c:v>Credit 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'FY2012'!$A$33:$A$44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'FY2012'!$B$33:$B$44</c:f>
              <c:numCache>
                <c:formatCode>[Black]#,##0;[Black]\-#,##0</c:formatCode>
                <c:ptCount val="12"/>
                <c:pt idx="0">
                  <c:v>5992303</c:v>
                </c:pt>
                <c:pt idx="1">
                  <c:v>5689902</c:v>
                </c:pt>
                <c:pt idx="2">
                  <c:v>5919220</c:v>
                </c:pt>
                <c:pt idx="3">
                  <c:v>5934772</c:v>
                </c:pt>
                <c:pt idx="4">
                  <c:v>6133125</c:v>
                </c:pt>
                <c:pt idx="5">
                  <c:v>6795680</c:v>
                </c:pt>
                <c:pt idx="6">
                  <c:v>6426850</c:v>
                </c:pt>
                <c:pt idx="7">
                  <c:v>7078331</c:v>
                </c:pt>
                <c:pt idx="8">
                  <c:v>7116306</c:v>
                </c:pt>
                <c:pt idx="9">
                  <c:v>7002637</c:v>
                </c:pt>
                <c:pt idx="10">
                  <c:v>7103612</c:v>
                </c:pt>
                <c:pt idx="11">
                  <c:v>6338697</c:v>
                </c:pt>
              </c:numCache>
            </c:numRef>
          </c:val>
          <c:smooth val="0"/>
        </c:ser>
        <c:ser>
          <c:idx val="2"/>
          <c:order val="1"/>
          <c:tx>
            <c:v>Credit 2011</c:v>
          </c:tx>
          <c:val>
            <c:numRef>
              <c:f>'FY2011'!$B$34:$B$45</c:f>
              <c:numCache>
                <c:formatCode>[Black]#,##0;[Black]\-#,##0</c:formatCode>
                <c:ptCount val="12"/>
                <c:pt idx="0">
                  <c:v>5453504</c:v>
                </c:pt>
                <c:pt idx="1">
                  <c:v>5211941</c:v>
                </c:pt>
                <c:pt idx="2">
                  <c:v>5516954</c:v>
                </c:pt>
                <c:pt idx="3">
                  <c:v>5473873</c:v>
                </c:pt>
                <c:pt idx="4">
                  <c:v>5514669</c:v>
                </c:pt>
                <c:pt idx="5">
                  <c:v>6387329</c:v>
                </c:pt>
                <c:pt idx="6">
                  <c:v>6119678</c:v>
                </c:pt>
                <c:pt idx="7">
                  <c:v>6290760</c:v>
                </c:pt>
                <c:pt idx="8">
                  <c:v>6524688</c:v>
                </c:pt>
                <c:pt idx="9">
                  <c:v>6846598</c:v>
                </c:pt>
                <c:pt idx="10">
                  <c:v>6570270</c:v>
                </c:pt>
                <c:pt idx="11">
                  <c:v>6195641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37856"/>
        <c:axId val="106139648"/>
      </c:lineChart>
      <c:dateAx>
        <c:axId val="1061378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396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6139648"/>
        <c:scaling>
          <c:orientation val="minMax"/>
          <c:max val="8000000"/>
          <c:min val="4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9.7945547113117842E-3"/>
              <c:y val="0.3632970833703583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#,##0;[Black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37856"/>
        <c:crosses val="autoZero"/>
        <c:crossBetween val="between"/>
        <c:majorUnit val="1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166666666667074"/>
          <c:y val="0.88103374718609617"/>
          <c:w val="0.50004820310922671"/>
          <c:h val="8.40099481946803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 orientation="portrait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
FY2012 Trend</a:t>
            </a:r>
          </a:p>
        </c:rich>
      </c:tx>
      <c:layout>
        <c:manualLayout>
          <c:xMode val="edge"/>
          <c:yMode val="edge"/>
          <c:x val="0.3140000000000035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0000000000012"/>
          <c:y val="0.31970260223048985"/>
          <c:w val="0.81200000000000061"/>
          <c:h val="0.37546468401488409"/>
        </c:manualLayout>
      </c:layout>
      <c:lineChart>
        <c:grouping val="standard"/>
        <c:varyColors val="0"/>
        <c:ser>
          <c:idx val="0"/>
          <c:order val="0"/>
          <c:tx>
            <c:v>Credit 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'FY2012'!$A$67:$A$78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'FY2012'!$B$67:$B$78</c:f>
              <c:numCache>
                <c:formatCode>"$"#,##0</c:formatCode>
                <c:ptCount val="12"/>
                <c:pt idx="0">
                  <c:v>9710032.9700000007</c:v>
                </c:pt>
                <c:pt idx="1">
                  <c:v>9634886.9399999995</c:v>
                </c:pt>
                <c:pt idx="2">
                  <c:v>10149741</c:v>
                </c:pt>
                <c:pt idx="3">
                  <c:v>9394360</c:v>
                </c:pt>
                <c:pt idx="4">
                  <c:v>9469837.1799999997</c:v>
                </c:pt>
                <c:pt idx="5">
                  <c:v>10537308.210000001</c:v>
                </c:pt>
                <c:pt idx="6">
                  <c:v>10016212.059999999</c:v>
                </c:pt>
                <c:pt idx="7">
                  <c:v>11415144</c:v>
                </c:pt>
                <c:pt idx="8">
                  <c:v>11812731</c:v>
                </c:pt>
                <c:pt idx="9">
                  <c:v>11349766</c:v>
                </c:pt>
                <c:pt idx="10">
                  <c:v>12089605.68</c:v>
                </c:pt>
                <c:pt idx="11">
                  <c:v>10923025.050000001</c:v>
                </c:pt>
              </c:numCache>
            </c:numRef>
          </c:val>
          <c:smooth val="0"/>
        </c:ser>
        <c:ser>
          <c:idx val="2"/>
          <c:order val="1"/>
          <c:tx>
            <c:v>Credit 2011</c:v>
          </c:tx>
          <c:val>
            <c:numRef>
              <c:f>'FY2011'!$B$68:$B$79</c:f>
              <c:numCache>
                <c:formatCode>"$"#,##0</c:formatCode>
                <c:ptCount val="12"/>
                <c:pt idx="0">
                  <c:v>10754188.27999996</c:v>
                </c:pt>
                <c:pt idx="1">
                  <c:v>9229645.3699999992</c:v>
                </c:pt>
                <c:pt idx="2">
                  <c:v>10607398.27</c:v>
                </c:pt>
                <c:pt idx="3">
                  <c:v>9304238.8599999994</c:v>
                </c:pt>
                <c:pt idx="4">
                  <c:v>9168267</c:v>
                </c:pt>
                <c:pt idx="5">
                  <c:v>10804872.029999999</c:v>
                </c:pt>
                <c:pt idx="6">
                  <c:v>11039319</c:v>
                </c:pt>
                <c:pt idx="7">
                  <c:v>11244004</c:v>
                </c:pt>
                <c:pt idx="8">
                  <c:v>12028464</c:v>
                </c:pt>
                <c:pt idx="9">
                  <c:v>12168184.85</c:v>
                </c:pt>
                <c:pt idx="10">
                  <c:v>11351389</c:v>
                </c:pt>
                <c:pt idx="11">
                  <c:v>11211485.620000001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21792"/>
        <c:axId val="113523328"/>
      </c:lineChart>
      <c:dateAx>
        <c:axId val="1135217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233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523328"/>
        <c:scaling>
          <c:orientation val="minMax"/>
          <c:max val="13000000"/>
          <c:min val="8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21792"/>
        <c:crosses val="autoZero"/>
        <c:crossBetween val="between"/>
        <c:majorUnit val="1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526837487833151"/>
          <c:y val="0.84862535228578884"/>
          <c:w val="0.42499476869125796"/>
          <c:h val="0.10576653353992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 orientation="portrait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Signature</a:t>
            </a:r>
            <a:r>
              <a:rPr lang="en-US" baseline="0"/>
              <a:t> Debit Interchange</a:t>
            </a:r>
            <a:r>
              <a:rPr lang="en-US"/>
              <a:t>
FY2012 Trend</a:t>
            </a:r>
          </a:p>
        </c:rich>
      </c:tx>
      <c:layout>
        <c:manualLayout>
          <c:xMode val="edge"/>
          <c:yMode val="edge"/>
          <c:x val="0.27305284830222032"/>
          <c:y val="3.69779527559059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0"/>
          <c:order val="0"/>
          <c:tx>
            <c:v>Sig Debit Intx 2012</c:v>
          </c:tx>
          <c:spPr>
            <a:ln w="12700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'FY2012'!$A$101:$A$112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'FY2012'!$D$101:$D$112</c:f>
              <c:numCache>
                <c:formatCode>"$"#,##0</c:formatCode>
                <c:ptCount val="12"/>
                <c:pt idx="0">
                  <c:v>695078</c:v>
                </c:pt>
                <c:pt idx="1">
                  <c:v>669850.65</c:v>
                </c:pt>
                <c:pt idx="2">
                  <c:v>713838</c:v>
                </c:pt>
                <c:pt idx="3">
                  <c:v>693499</c:v>
                </c:pt>
                <c:pt idx="4">
                  <c:v>753063.25999999791</c:v>
                </c:pt>
                <c:pt idx="5">
                  <c:v>823340.15</c:v>
                </c:pt>
                <c:pt idx="6">
                  <c:v>740126</c:v>
                </c:pt>
                <c:pt idx="7">
                  <c:v>787384</c:v>
                </c:pt>
                <c:pt idx="8">
                  <c:v>807399</c:v>
                </c:pt>
                <c:pt idx="9">
                  <c:v>768086</c:v>
                </c:pt>
                <c:pt idx="10">
                  <c:v>801845.52</c:v>
                </c:pt>
                <c:pt idx="11">
                  <c:v>730956</c:v>
                </c:pt>
              </c:numCache>
            </c:numRef>
          </c:val>
          <c:smooth val="0"/>
        </c:ser>
        <c:ser>
          <c:idx val="1"/>
          <c:order val="1"/>
          <c:tx>
            <c:v>Sig Debit Intx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val>
            <c:numRef>
              <c:f>'FY2011'!$D$102:$D$113</c:f>
              <c:numCache>
                <c:formatCode>"$"#,##0</c:formatCode>
                <c:ptCount val="12"/>
                <c:pt idx="0">
                  <c:v>1056049</c:v>
                </c:pt>
                <c:pt idx="1">
                  <c:v>975947</c:v>
                </c:pt>
                <c:pt idx="2">
                  <c:v>1063565</c:v>
                </c:pt>
                <c:pt idx="3">
                  <c:v>1026501</c:v>
                </c:pt>
                <c:pt idx="4">
                  <c:v>1093455</c:v>
                </c:pt>
                <c:pt idx="5">
                  <c:v>1283904</c:v>
                </c:pt>
                <c:pt idx="6">
                  <c:v>1197405</c:v>
                </c:pt>
                <c:pt idx="7">
                  <c:v>1210519</c:v>
                </c:pt>
                <c:pt idx="8">
                  <c:v>1259255</c:v>
                </c:pt>
                <c:pt idx="9">
                  <c:v>1309200</c:v>
                </c:pt>
                <c:pt idx="10">
                  <c:v>1252713</c:v>
                </c:pt>
                <c:pt idx="11">
                  <c:v>1169794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48288"/>
        <c:axId val="113550464"/>
      </c:lineChart>
      <c:dateAx>
        <c:axId val="1135482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504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550464"/>
        <c:scaling>
          <c:orientation val="minMax"/>
          <c:min val="6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48288"/>
        <c:crosses val="autoZero"/>
        <c:crossBetween val="between"/>
        <c:majorUnit val="15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122670458355192"/>
          <c:y val="0.85665472440945589"/>
          <c:w val="0.61437655056263951"/>
          <c:h val="8.83452755905512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Sales Dollars
FY2017 Trend</a:t>
            </a:r>
          </a:p>
        </c:rich>
      </c:tx>
      <c:layout>
        <c:manualLayout>
          <c:xMode val="edge"/>
          <c:yMode val="edge"/>
          <c:x val="0.3140000000000038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0000000000041"/>
          <c:y val="0.32089610704311122"/>
          <c:w val="0.72200000000000064"/>
          <c:h val="0.37313500818966294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'FY2015'!$C$9:$C$20</c:f>
              <c:numCache>
                <c:formatCode>_("$"* #,##0_);_("$"* \(#,##0\);_("$"* "-"??_);_(@_)</c:formatCode>
                <c:ptCount val="12"/>
                <c:pt idx="0">
                  <c:v>233811372</c:v>
                </c:pt>
                <c:pt idx="1">
                  <c:v>241843205.16999984</c:v>
                </c:pt>
                <c:pt idx="2">
                  <c:v>204156942.19</c:v>
                </c:pt>
                <c:pt idx="3">
                  <c:v>232141323.19000006</c:v>
                </c:pt>
                <c:pt idx="4">
                  <c:v>217065440.56</c:v>
                </c:pt>
                <c:pt idx="5">
                  <c:v>224415244.11000001</c:v>
                </c:pt>
                <c:pt idx="6">
                  <c:v>219083105.56</c:v>
                </c:pt>
                <c:pt idx="7">
                  <c:v>235653980.90000015</c:v>
                </c:pt>
                <c:pt idx="8">
                  <c:v>206057009.16</c:v>
                </c:pt>
                <c:pt idx="9">
                  <c:v>217376835.73999998</c:v>
                </c:pt>
                <c:pt idx="10">
                  <c:v>227996759.49000019</c:v>
                </c:pt>
                <c:pt idx="11">
                  <c:v>214316897.97000006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'FY2014'!$C$9:$C$20</c:f>
              <c:numCache>
                <c:formatCode>_("$"* #,##0_);_("$"* \(#,##0\);_("$"* "-"??_);_(@_)</c:formatCode>
                <c:ptCount val="12"/>
                <c:pt idx="0">
                  <c:v>196737992</c:v>
                </c:pt>
                <c:pt idx="1">
                  <c:v>243093144</c:v>
                </c:pt>
                <c:pt idx="2">
                  <c:v>222038681</c:v>
                </c:pt>
                <c:pt idx="3">
                  <c:v>224415244</c:v>
                </c:pt>
                <c:pt idx="4">
                  <c:v>218904018</c:v>
                </c:pt>
                <c:pt idx="5">
                  <c:v>237950792</c:v>
                </c:pt>
                <c:pt idx="6">
                  <c:v>220244625</c:v>
                </c:pt>
                <c:pt idx="7">
                  <c:v>233744781</c:v>
                </c:pt>
                <c:pt idx="8">
                  <c:v>217864234</c:v>
                </c:pt>
                <c:pt idx="9">
                  <c:v>216560864</c:v>
                </c:pt>
                <c:pt idx="10">
                  <c:v>245337299</c:v>
                </c:pt>
                <c:pt idx="11">
                  <c:v>214966735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'FY2013'!$C$9:$C$20</c:f>
              <c:numCache>
                <c:formatCode>_("$"* #,##0_);_("$"* \(#,##0\);_("$"* "-"??_);_(@_)</c:formatCode>
                <c:ptCount val="12"/>
                <c:pt idx="0">
                  <c:v>220970227</c:v>
                </c:pt>
                <c:pt idx="1">
                  <c:v>232085939.86000001</c:v>
                </c:pt>
                <c:pt idx="2">
                  <c:v>242619302.84999999</c:v>
                </c:pt>
                <c:pt idx="3">
                  <c:v>218486100</c:v>
                </c:pt>
                <c:pt idx="4">
                  <c:v>224050133.69999999</c:v>
                </c:pt>
                <c:pt idx="5">
                  <c:v>251065328</c:v>
                </c:pt>
                <c:pt idx="6">
                  <c:v>217338571</c:v>
                </c:pt>
                <c:pt idx="7">
                  <c:v>233336216</c:v>
                </c:pt>
                <c:pt idx="8">
                  <c:v>227933502</c:v>
                </c:pt>
                <c:pt idx="9">
                  <c:v>204194734.19</c:v>
                </c:pt>
                <c:pt idx="10">
                  <c:v>234661180</c:v>
                </c:pt>
                <c:pt idx="11">
                  <c:v>221974564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'FY2012'!$C$17:$C$28</c:f>
              <c:numCache>
                <c:formatCode>_("$"* #,##0_);_("$"* \(#,##0\);_("$"* "-"??_);_(@_)</c:formatCode>
                <c:ptCount val="12"/>
                <c:pt idx="0">
                  <c:v>211424832</c:v>
                </c:pt>
                <c:pt idx="1">
                  <c:v>207728753.31</c:v>
                </c:pt>
                <c:pt idx="2">
                  <c:v>221708758</c:v>
                </c:pt>
                <c:pt idx="3">
                  <c:v>205884255</c:v>
                </c:pt>
                <c:pt idx="4">
                  <c:v>211128500</c:v>
                </c:pt>
                <c:pt idx="5">
                  <c:v>220068302.31999999</c:v>
                </c:pt>
                <c:pt idx="6">
                  <c:v>211036392.41</c:v>
                </c:pt>
                <c:pt idx="7">
                  <c:v>218710035</c:v>
                </c:pt>
                <c:pt idx="8">
                  <c:v>220505653</c:v>
                </c:pt>
                <c:pt idx="9">
                  <c:v>211730585</c:v>
                </c:pt>
                <c:pt idx="10">
                  <c:v>224658336.80000001</c:v>
                </c:pt>
                <c:pt idx="11">
                  <c:v>230461236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'FY2011'!$C$18:$C$29</c:f>
              <c:numCache>
                <c:formatCode>_("$"* #,##0_);_("$"* \(#,##0\);_("$"* "-"??_);_(@_)</c:formatCode>
                <c:ptCount val="12"/>
                <c:pt idx="0">
                  <c:v>204861464.94999999</c:v>
                </c:pt>
                <c:pt idx="1">
                  <c:v>194394741.47999999</c:v>
                </c:pt>
                <c:pt idx="2">
                  <c:v>205489113</c:v>
                </c:pt>
                <c:pt idx="3">
                  <c:v>198520610</c:v>
                </c:pt>
                <c:pt idx="4">
                  <c:v>185496077</c:v>
                </c:pt>
                <c:pt idx="5">
                  <c:v>201254413</c:v>
                </c:pt>
                <c:pt idx="6">
                  <c:v>203187477</c:v>
                </c:pt>
                <c:pt idx="7">
                  <c:v>203260624</c:v>
                </c:pt>
                <c:pt idx="8">
                  <c:v>191492037</c:v>
                </c:pt>
                <c:pt idx="9">
                  <c:v>201987028</c:v>
                </c:pt>
                <c:pt idx="10">
                  <c:v>197799494</c:v>
                </c:pt>
                <c:pt idx="11">
                  <c:v>205150436</c:v>
                </c:pt>
              </c:numCache>
            </c:numRef>
          </c:val>
          <c:smooth val="0"/>
        </c:ser>
        <c:ser>
          <c:idx val="5"/>
          <c:order val="5"/>
          <c:tx>
            <c:v>PIN Debit 2016</c:v>
          </c:tx>
          <c:val>
            <c:numRef>
              <c:f>'FY2016'!$C$9:$C$20</c:f>
              <c:numCache>
                <c:formatCode>_("$"* #,##0.00_);_("$"* \(#,##0.00\);_("$"* "-"??_);_(@_)</c:formatCode>
                <c:ptCount val="12"/>
                <c:pt idx="0">
                  <c:v>232309883.70999989</c:v>
                </c:pt>
                <c:pt idx="1">
                  <c:v>229296420.86999965</c:v>
                </c:pt>
                <c:pt idx="2">
                  <c:v>226339943.29999971</c:v>
                </c:pt>
                <c:pt idx="3">
                  <c:v>231144200.97999999</c:v>
                </c:pt>
                <c:pt idx="4">
                  <c:v>219844289.90000001</c:v>
                </c:pt>
                <c:pt idx="5">
                  <c:v>223499110.90000001</c:v>
                </c:pt>
                <c:pt idx="6">
                  <c:v>220092148.91999999</c:v>
                </c:pt>
                <c:pt idx="7">
                  <c:v>214426243.56999999</c:v>
                </c:pt>
                <c:pt idx="8">
                  <c:v>191898844.49000001</c:v>
                </c:pt>
                <c:pt idx="9">
                  <c:v>199462348.24999976</c:v>
                </c:pt>
                <c:pt idx="10">
                  <c:v>192236743.19</c:v>
                </c:pt>
                <c:pt idx="11">
                  <c:v>194860792</c:v>
                </c:pt>
              </c:numCache>
            </c:numRef>
          </c:val>
          <c:smooth val="0"/>
        </c:ser>
        <c:ser>
          <c:idx val="6"/>
          <c:order val="6"/>
          <c:tx>
            <c:v>PIN Debit 2017</c:v>
          </c:tx>
          <c:val>
            <c:numRef>
              <c:f>'FY2017'!$C$9:$C$20</c:f>
              <c:numCache>
                <c:formatCode>_("$"* #,##0.00_);_("$"* \(#,##0.00\);_("$"* "-"??_);_(@_)</c:formatCode>
                <c:ptCount val="12"/>
                <c:pt idx="0">
                  <c:v>204479097.96999997</c:v>
                </c:pt>
                <c:pt idx="1">
                  <c:v>197626194.56000015</c:v>
                </c:pt>
                <c:pt idx="2">
                  <c:v>211781464.73999989</c:v>
                </c:pt>
                <c:pt idx="3">
                  <c:v>195252608.97000003</c:v>
                </c:pt>
                <c:pt idx="4">
                  <c:v>193252193.79000008</c:v>
                </c:pt>
                <c:pt idx="5">
                  <c:v>210074407.88999993</c:v>
                </c:pt>
                <c:pt idx="6">
                  <c:v>206416212.60999998</c:v>
                </c:pt>
                <c:pt idx="7">
                  <c:v>196416381.89999998</c:v>
                </c:pt>
                <c:pt idx="8">
                  <c:v>194439810.34999999</c:v>
                </c:pt>
                <c:pt idx="9">
                  <c:v>194518268.82999995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10752"/>
        <c:axId val="81224832"/>
      </c:lineChart>
      <c:dateAx>
        <c:axId val="812107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248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224832"/>
        <c:scaling>
          <c:orientation val="minMax"/>
          <c:min val="18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3395355378309409E-2"/>
              <c:y val="0.488806921948454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10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5964707928810645E-2"/>
          <c:y val="0.82037508947745164"/>
          <c:w val="0.91253852522207646"/>
          <c:h val="0.17962484419177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New Set-Ups
FY2012 Trend</a:t>
            </a:r>
          </a:p>
        </c:rich>
      </c:tx>
      <c:layout>
        <c:manualLayout>
          <c:xMode val="edge"/>
          <c:yMode val="edge"/>
          <c:x val="0.36952086193320827"/>
          <c:y val="3.85964084750375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39071414610363E-2"/>
          <c:y val="0.18640530421719431"/>
          <c:w val="0.88571232295841651"/>
          <c:h val="0.56391262012710952"/>
        </c:manualLayout>
      </c:layout>
      <c:lineChart>
        <c:grouping val="standard"/>
        <c:varyColors val="0"/>
        <c:ser>
          <c:idx val="0"/>
          <c:order val="0"/>
          <c:tx>
            <c:v>New Account Setup 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'FY2012'!$A$155:$A$166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'FY2012'!$B$155:$B$166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New Location Only Setup 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'FY2012'!$A$155:$A$166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'FY2012'!$C$155:$C$166</c:f>
              <c:numCache>
                <c:formatCode>General</c:formatCode>
                <c:ptCount val="12"/>
                <c:pt idx="0">
                  <c:v>14</c:v>
                </c:pt>
                <c:pt idx="1">
                  <c:v>9</c:v>
                </c:pt>
                <c:pt idx="2">
                  <c:v>9</c:v>
                </c:pt>
                <c:pt idx="3">
                  <c:v>59</c:v>
                </c:pt>
                <c:pt idx="4">
                  <c:v>108</c:v>
                </c:pt>
                <c:pt idx="5">
                  <c:v>62</c:v>
                </c:pt>
                <c:pt idx="6">
                  <c:v>31</c:v>
                </c:pt>
                <c:pt idx="7">
                  <c:v>23</c:v>
                </c:pt>
                <c:pt idx="8">
                  <c:v>41</c:v>
                </c:pt>
                <c:pt idx="9">
                  <c:v>36</c:v>
                </c:pt>
                <c:pt idx="10">
                  <c:v>28</c:v>
                </c:pt>
                <c:pt idx="1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v>New Account Setup 2011</c:v>
          </c:tx>
          <c:val>
            <c:numRef>
              <c:f>'FY2011'!$B$156:$B$167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New Location Only Setup 2011</c:v>
          </c:tx>
          <c:val>
            <c:numRef>
              <c:f>'FY2011'!$C$156:$C$167</c:f>
              <c:numCache>
                <c:formatCode>General</c:formatCode>
                <c:ptCount val="12"/>
                <c:pt idx="0">
                  <c:v>45</c:v>
                </c:pt>
                <c:pt idx="1">
                  <c:v>46</c:v>
                </c:pt>
                <c:pt idx="2">
                  <c:v>14</c:v>
                </c:pt>
                <c:pt idx="3">
                  <c:v>22</c:v>
                </c:pt>
                <c:pt idx="4">
                  <c:v>24</c:v>
                </c:pt>
                <c:pt idx="5">
                  <c:v>57</c:v>
                </c:pt>
                <c:pt idx="6">
                  <c:v>13</c:v>
                </c:pt>
                <c:pt idx="7">
                  <c:v>54</c:v>
                </c:pt>
                <c:pt idx="8">
                  <c:v>60</c:v>
                </c:pt>
                <c:pt idx="9">
                  <c:v>10</c:v>
                </c:pt>
                <c:pt idx="10">
                  <c:v>15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3360"/>
        <c:axId val="113665152"/>
      </c:lineChart>
      <c:dateAx>
        <c:axId val="1136633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65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665152"/>
        <c:scaling>
          <c:orientation val="minMax"/>
          <c:max val="1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63360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9656701386105"/>
          <c:y val="0.8473502685838401"/>
          <c:w val="0.47558348287850882"/>
          <c:h val="0.10986050262182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 orientation="landscape" horizontalDpi="-3" verticalDpi="1200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Network Fees
FY2012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3036437247176"/>
          <c:y val="0.30106344157989523"/>
          <c:w val="0.8137651821862345"/>
          <c:h val="0.40023728115914958"/>
        </c:manualLayout>
      </c:layout>
      <c:lineChart>
        <c:grouping val="standard"/>
        <c:varyColors val="0"/>
        <c:ser>
          <c:idx val="0"/>
          <c:order val="0"/>
          <c:tx>
            <c:v>Credit 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'FY2012'!$A$84:$A$95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'FY2012'!$B$84:$B$95</c:f>
              <c:numCache>
                <c:formatCode>"$"#,##0</c:formatCode>
                <c:ptCount val="12"/>
                <c:pt idx="0">
                  <c:v>658627.5</c:v>
                </c:pt>
                <c:pt idx="1">
                  <c:v>648592</c:v>
                </c:pt>
                <c:pt idx="2">
                  <c:v>682470.53</c:v>
                </c:pt>
                <c:pt idx="3">
                  <c:v>654762.35</c:v>
                </c:pt>
                <c:pt idx="4">
                  <c:v>675088.63000000012</c:v>
                </c:pt>
                <c:pt idx="5">
                  <c:v>738130.39</c:v>
                </c:pt>
                <c:pt idx="6">
                  <c:v>757972.45000000007</c:v>
                </c:pt>
                <c:pt idx="7">
                  <c:v>846944.13</c:v>
                </c:pt>
                <c:pt idx="8">
                  <c:v>880652.52000000014</c:v>
                </c:pt>
                <c:pt idx="9">
                  <c:v>853362.1100000001</c:v>
                </c:pt>
                <c:pt idx="10">
                  <c:v>890581.28</c:v>
                </c:pt>
                <c:pt idx="11">
                  <c:v>848319.48999999987</c:v>
                </c:pt>
              </c:numCache>
            </c:numRef>
          </c:val>
          <c:smooth val="0"/>
        </c:ser>
        <c:ser>
          <c:idx val="2"/>
          <c:order val="1"/>
          <c:tx>
            <c:v>Credit 2011</c:v>
          </c:tx>
          <c:val>
            <c:numRef>
              <c:f>'FY2011'!$B$85:$B$96</c:f>
              <c:numCache>
                <c:formatCode>"$"#,##0</c:formatCode>
                <c:ptCount val="12"/>
                <c:pt idx="0">
                  <c:v>650582.87</c:v>
                </c:pt>
                <c:pt idx="1">
                  <c:v>586329.14000000013</c:v>
                </c:pt>
                <c:pt idx="2">
                  <c:v>660166.44999999995</c:v>
                </c:pt>
                <c:pt idx="3">
                  <c:v>585522.64</c:v>
                </c:pt>
                <c:pt idx="4">
                  <c:v>608020.66999999993</c:v>
                </c:pt>
                <c:pt idx="5">
                  <c:v>702297.44</c:v>
                </c:pt>
                <c:pt idx="6">
                  <c:v>693580</c:v>
                </c:pt>
                <c:pt idx="7">
                  <c:v>717799.28</c:v>
                </c:pt>
                <c:pt idx="8">
                  <c:v>751491.67</c:v>
                </c:pt>
                <c:pt idx="9">
                  <c:v>770050.96</c:v>
                </c:pt>
                <c:pt idx="10">
                  <c:v>729298.57000000007</c:v>
                </c:pt>
                <c:pt idx="11">
                  <c:v>700181.32000000007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06880"/>
        <c:axId val="113708416"/>
      </c:lineChart>
      <c:dateAx>
        <c:axId val="1137068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084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708416"/>
        <c:scaling>
          <c:orientation val="minMax"/>
          <c:max val="900000"/>
          <c:min val="4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06880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94744455171177"/>
          <c:y val="0.8684925196850396"/>
          <c:w val="0.44825965299938003"/>
          <c:h val="9.6327559055118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portrait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Terminals</a:t>
            </a:r>
            <a:r>
              <a:rPr lang="en-US" baseline="0"/>
              <a:t> on File</a:t>
            </a:r>
            <a:r>
              <a:rPr lang="en-US"/>
              <a:t>
FY2012 Trend</a:t>
            </a:r>
          </a:p>
        </c:rich>
      </c:tx>
      <c:layout>
        <c:manualLayout>
          <c:xMode val="edge"/>
          <c:yMode val="edge"/>
          <c:x val="0.37659666464012237"/>
          <c:y val="3.8596676188147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15"/>
          <c:y val="0.30526420389325187"/>
          <c:w val="0.81274979452289831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v>Active Terminals 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'FY2012'!$A$172:$A$183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'FY2012'!$B$172:$B$183</c:f>
              <c:numCache>
                <c:formatCode>#,##0</c:formatCode>
                <c:ptCount val="12"/>
                <c:pt idx="0">
                  <c:v>6478</c:v>
                </c:pt>
                <c:pt idx="1">
                  <c:v>6489</c:v>
                </c:pt>
                <c:pt idx="2">
                  <c:v>6525</c:v>
                </c:pt>
                <c:pt idx="3">
                  <c:v>6618</c:v>
                </c:pt>
                <c:pt idx="4">
                  <c:v>6778</c:v>
                </c:pt>
                <c:pt idx="5">
                  <c:v>6815</c:v>
                </c:pt>
                <c:pt idx="6">
                  <c:v>6856</c:v>
                </c:pt>
                <c:pt idx="7">
                  <c:v>6922</c:v>
                </c:pt>
                <c:pt idx="8">
                  <c:v>6969</c:v>
                </c:pt>
                <c:pt idx="9">
                  <c:v>6988</c:v>
                </c:pt>
                <c:pt idx="10">
                  <c:v>7051</c:v>
                </c:pt>
                <c:pt idx="11">
                  <c:v>7139</c:v>
                </c:pt>
              </c:numCache>
            </c:numRef>
          </c:val>
          <c:smooth val="0"/>
        </c:ser>
        <c:ser>
          <c:idx val="1"/>
          <c:order val="1"/>
          <c:tx>
            <c:v>Active Terminals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val>
            <c:numRef>
              <c:f>'FY2011'!$B$173:$B$184</c:f>
              <c:numCache>
                <c:formatCode>#,##0</c:formatCode>
                <c:ptCount val="12"/>
                <c:pt idx="0">
                  <c:v>5829</c:v>
                </c:pt>
                <c:pt idx="1">
                  <c:v>5890</c:v>
                </c:pt>
                <c:pt idx="2">
                  <c:v>5909</c:v>
                </c:pt>
                <c:pt idx="3">
                  <c:v>5961</c:v>
                </c:pt>
                <c:pt idx="4">
                  <c:v>6024</c:v>
                </c:pt>
                <c:pt idx="5">
                  <c:v>6130</c:v>
                </c:pt>
                <c:pt idx="6">
                  <c:v>6169</c:v>
                </c:pt>
                <c:pt idx="7">
                  <c:v>6236</c:v>
                </c:pt>
                <c:pt idx="8">
                  <c:v>6324</c:v>
                </c:pt>
                <c:pt idx="9">
                  <c:v>6360</c:v>
                </c:pt>
                <c:pt idx="10">
                  <c:v>6392</c:v>
                </c:pt>
                <c:pt idx="11">
                  <c:v>6455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54112"/>
        <c:axId val="113756032"/>
      </c:lineChart>
      <c:dateAx>
        <c:axId val="1137541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56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756032"/>
        <c:scaling>
          <c:orientation val="minMax"/>
          <c:max val="7500"/>
          <c:min val="5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54112"/>
        <c:crosses val="autoZero"/>
        <c:crossBetween val="between"/>
        <c:majorUnit val="2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764125407324427"/>
          <c:y val="0.85936045297251362"/>
          <c:w val="0.45732220726836292"/>
          <c:h val="9.0303983207738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landscape" horizontalDpi="-3" verticalDpi="1200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Chargebacks 
FY2012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19"/>
          <c:y val="0.30526420389325204"/>
          <c:w val="0.81274979452289875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v>Chargebacks 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'FY2012'!$A$191:$A$202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'FY2012'!$D$191:$D$203</c:f>
              <c:numCache>
                <c:formatCode>0.000%</c:formatCode>
                <c:ptCount val="13"/>
                <c:pt idx="0">
                  <c:v>1.2299111042949598E-4</c:v>
                </c:pt>
                <c:pt idx="1">
                  <c:v>1.124799688992886E-4</c:v>
                </c:pt>
                <c:pt idx="2">
                  <c:v>1.0035105976800997E-4</c:v>
                </c:pt>
                <c:pt idx="3">
                  <c:v>9.4190644560566099E-5</c:v>
                </c:pt>
                <c:pt idx="4">
                  <c:v>1.1136247834505249E-4</c:v>
                </c:pt>
                <c:pt idx="5">
                  <c:v>1.0418383443599463E-4</c:v>
                </c:pt>
                <c:pt idx="6">
                  <c:v>9.0401985420540391E-5</c:v>
                </c:pt>
                <c:pt idx="7">
                  <c:v>1.0284910383535328E-4</c:v>
                </c:pt>
                <c:pt idx="8">
                  <c:v>9.6117283320869005E-5</c:v>
                </c:pt>
                <c:pt idx="9">
                  <c:v>9.8105899249097166E-5</c:v>
                </c:pt>
                <c:pt idx="10">
                  <c:v>1.181089282466441E-4</c:v>
                </c:pt>
                <c:pt idx="11">
                  <c:v>1.2147606992415002E-4</c:v>
                </c:pt>
                <c:pt idx="12">
                  <c:v>1.0589253249343315E-4</c:v>
                </c:pt>
              </c:numCache>
            </c:numRef>
          </c:val>
          <c:smooth val="0"/>
        </c:ser>
        <c:ser>
          <c:idx val="1"/>
          <c:order val="1"/>
          <c:tx>
            <c:v>Chargebacks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val>
            <c:numRef>
              <c:f>'FY2011'!$D$192:$D$203</c:f>
              <c:numCache>
                <c:formatCode>0.000%</c:formatCode>
                <c:ptCount val="12"/>
                <c:pt idx="0">
                  <c:v>1.6668182511647556E-4</c:v>
                </c:pt>
                <c:pt idx="1">
                  <c:v>1.3219643123358457E-4</c:v>
                </c:pt>
                <c:pt idx="2">
                  <c:v>1.2416271732553868E-4</c:v>
                </c:pt>
                <c:pt idx="3">
                  <c:v>1.1326532420463537E-4</c:v>
                </c:pt>
                <c:pt idx="4">
                  <c:v>1.0444869855289592E-4</c:v>
                </c:pt>
                <c:pt idx="5">
                  <c:v>1.3526780912647524E-4</c:v>
                </c:pt>
                <c:pt idx="6">
                  <c:v>1.2337250423960215E-4</c:v>
                </c:pt>
                <c:pt idx="7">
                  <c:v>1.0634645098525457E-4</c:v>
                </c:pt>
                <c:pt idx="8">
                  <c:v>1.1341538476629074E-4</c:v>
                </c:pt>
                <c:pt idx="9">
                  <c:v>9.8881225391062833E-5</c:v>
                </c:pt>
                <c:pt idx="10">
                  <c:v>1.2891403245224322E-4</c:v>
                </c:pt>
                <c:pt idx="11">
                  <c:v>1.0362123951339337E-4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89184"/>
        <c:axId val="113799552"/>
      </c:lineChart>
      <c:dateAx>
        <c:axId val="1137891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995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799552"/>
        <c:scaling>
          <c:orientation val="minMax"/>
          <c:max val="1.8000000000000278E-4"/>
          <c:min val="6.0000000000001018E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89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262372404499188"/>
          <c:y val="0.86223130499694056"/>
          <c:w val="0.4726011830381458"/>
          <c:h val="8.6346808051703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 horizontalDpi="-3" verticalDpi="1200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Cost Per Transaction
FY2012 Trend</a:t>
            </a:r>
          </a:p>
        </c:rich>
      </c:tx>
      <c:layout>
        <c:manualLayout>
          <c:xMode val="edge"/>
          <c:yMode val="edge"/>
          <c:x val="0.31325301204819223"/>
          <c:y val="3.66300745253564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460536442200781"/>
          <c:w val="0.80971659919028338"/>
          <c:h val="0.39315343547491688"/>
        </c:manualLayout>
      </c:layout>
      <c:lineChart>
        <c:grouping val="standard"/>
        <c:varyColors val="0"/>
        <c:ser>
          <c:idx val="0"/>
          <c:order val="0"/>
          <c:tx>
            <c:v>Credit 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'FY2012'!$A$119:$A$127</c:f>
              <c:numCache>
                <c:formatCode>mmm\-yy</c:formatCode>
                <c:ptCount val="9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</c:numCache>
            </c:numRef>
          </c:cat>
          <c:val>
            <c:numRef>
              <c:f>'FY2012'!$B$119:$B$130</c:f>
              <c:numCache>
                <c:formatCode>"$"#,##0.00</c:formatCode>
                <c:ptCount val="12"/>
                <c:pt idx="0">
                  <c:v>1.7303298030823877</c:v>
                </c:pt>
                <c:pt idx="1">
                  <c:v>1.8073209239807644</c:v>
                </c:pt>
                <c:pt idx="2">
                  <c:v>1.8300065768800617</c:v>
                </c:pt>
                <c:pt idx="3">
                  <c:v>1.6932617377718975</c:v>
                </c:pt>
                <c:pt idx="4">
                  <c:v>1.654120176908183</c:v>
                </c:pt>
                <c:pt idx="5">
                  <c:v>1.6592068196265866</c:v>
                </c:pt>
                <c:pt idx="6">
                  <c:v>1.6764331686596075</c:v>
                </c:pt>
                <c:pt idx="7">
                  <c:v>1.7323417243415151</c:v>
                </c:pt>
                <c:pt idx="8">
                  <c:v>1.7837040059828793</c:v>
                </c:pt>
                <c:pt idx="9">
                  <c:v>1.7426475354927007</c:v>
                </c:pt>
                <c:pt idx="10">
                  <c:v>1.8272657571950719</c:v>
                </c:pt>
                <c:pt idx="11">
                  <c:v>1.8570606135614309</c:v>
                </c:pt>
              </c:numCache>
            </c:numRef>
          </c:val>
          <c:smooth val="0"/>
        </c:ser>
        <c:ser>
          <c:idx val="2"/>
          <c:order val="1"/>
          <c:tx>
            <c:v>Credit 2011</c:v>
          </c:tx>
          <c:val>
            <c:numRef>
              <c:f>'FY2011'!$B$120:$B$131</c:f>
              <c:numCache>
                <c:formatCode>"$"#,##0.00</c:formatCode>
                <c:ptCount val="12"/>
                <c:pt idx="0">
                  <c:v>2.0912740047499661</c:v>
                </c:pt>
                <c:pt idx="1">
                  <c:v>1.883362553413402</c:v>
                </c:pt>
                <c:pt idx="2">
                  <c:v>2.0423524865351421</c:v>
                </c:pt>
                <c:pt idx="3">
                  <c:v>1.8067210364580983</c:v>
                </c:pt>
                <c:pt idx="4">
                  <c:v>1.7727786871705264</c:v>
                </c:pt>
                <c:pt idx="5">
                  <c:v>1.8015620410346795</c:v>
                </c:pt>
                <c:pt idx="6">
                  <c:v>1.9172412339342038</c:v>
                </c:pt>
                <c:pt idx="7">
                  <c:v>1.9014877820803844</c:v>
                </c:pt>
                <c:pt idx="8">
                  <c:v>1.9587075535259311</c:v>
                </c:pt>
                <c:pt idx="9">
                  <c:v>1.8897320698542543</c:v>
                </c:pt>
                <c:pt idx="10">
                  <c:v>1.838689668765515</c:v>
                </c:pt>
                <c:pt idx="11">
                  <c:v>1.9225883068434728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28992"/>
        <c:axId val="113830528"/>
      </c:lineChart>
      <c:dateAx>
        <c:axId val="1138289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305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30528"/>
        <c:scaling>
          <c:orientation val="minMax"/>
          <c:max val="2.5"/>
          <c:min val="1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28992"/>
        <c:crosses val="autoZero"/>
        <c:crossBetween val="between"/>
        <c:majorUnit val="0.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243659870463686"/>
          <c:y val="0.85271413302478738"/>
          <c:w val="0.43898172098595439"/>
          <c:h val="6.37546111580957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portrait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FY2012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23"/>
          <c:w val="0.81174089068826816"/>
          <c:h val="0.40023728115914958"/>
        </c:manualLayout>
      </c:layout>
      <c:lineChart>
        <c:grouping val="standard"/>
        <c:varyColors val="0"/>
        <c:ser>
          <c:idx val="0"/>
          <c:order val="0"/>
          <c:tx>
            <c:v>Credit 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'FY2012'!$A$136:$A$147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'FY2012'!$B$136:$B$147</c:f>
              <c:numCache>
                <c:formatCode>"$"#,##0.000</c:formatCode>
                <c:ptCount val="12"/>
                <c:pt idx="0">
                  <c:v>0.10991224909688312</c:v>
                </c:pt>
                <c:pt idx="1">
                  <c:v>0.11399001248176155</c:v>
                </c:pt>
                <c:pt idx="2">
                  <c:v>0.11529737532985765</c:v>
                </c:pt>
                <c:pt idx="3">
                  <c:v>0.11032645399014486</c:v>
                </c:pt>
                <c:pt idx="4">
                  <c:v>0.11007253724650976</c:v>
                </c:pt>
                <c:pt idx="5">
                  <c:v>0.10861759088126574</c:v>
                </c:pt>
                <c:pt idx="6">
                  <c:v>0.11793840684005384</c:v>
                </c:pt>
                <c:pt idx="7">
                  <c:v>0.11965308347405625</c:v>
                </c:pt>
                <c:pt idx="8">
                  <c:v>0.12375135639192583</c:v>
                </c:pt>
                <c:pt idx="9">
                  <c:v>0.12186296533720084</c:v>
                </c:pt>
                <c:pt idx="10">
                  <c:v>0.12537020321492784</c:v>
                </c:pt>
                <c:pt idx="11">
                  <c:v>0.13383184114968738</c:v>
                </c:pt>
              </c:numCache>
            </c:numRef>
          </c:val>
          <c:smooth val="0"/>
        </c:ser>
        <c:ser>
          <c:idx val="2"/>
          <c:order val="1"/>
          <c:tx>
            <c:v>Credit 2011</c:v>
          </c:tx>
          <c:val>
            <c:numRef>
              <c:f>'FY2011'!$B$137:$B$148</c:f>
              <c:numCache>
                <c:formatCode>"$"#,##0.000</c:formatCode>
                <c:ptCount val="12"/>
                <c:pt idx="0">
                  <c:v>0.119296303807607</c:v>
                </c:pt>
                <c:pt idx="1">
                  <c:v>0.11249727117018403</c:v>
                </c:pt>
                <c:pt idx="2">
                  <c:v>0.11966140192577281</c:v>
                </c:pt>
                <c:pt idx="3">
                  <c:v>0.10696679298186129</c:v>
                </c:pt>
                <c:pt idx="4">
                  <c:v>0.11025515221312465</c:v>
                </c:pt>
                <c:pt idx="5">
                  <c:v>0.10995166211103263</c:v>
                </c:pt>
                <c:pt idx="6">
                  <c:v>0.11333602846424273</c:v>
                </c:pt>
                <c:pt idx="7">
                  <c:v>0.11410374581131692</c:v>
                </c:pt>
                <c:pt idx="8">
                  <c:v>0.1151766444617735</c:v>
                </c:pt>
                <c:pt idx="9">
                  <c:v>0.11247205692520577</c:v>
                </c:pt>
                <c:pt idx="10">
                  <c:v>0.11099978691895464</c:v>
                </c:pt>
                <c:pt idx="11">
                  <c:v>0.11301192564256064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39776"/>
        <c:axId val="113345664"/>
      </c:lineChart>
      <c:dateAx>
        <c:axId val="1133397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4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345664"/>
        <c:scaling>
          <c:orientation val="minMax"/>
          <c:max val="0.18000000000000024"/>
          <c:min val="0.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39776"/>
        <c:crosses val="autoZero"/>
        <c:crossBetween val="between"/>
        <c:majorUnit val="1.0000000000000005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084427203569598"/>
          <c:y val="0.84756456692913351"/>
          <c:w val="0.42828134417670455"/>
          <c:h val="9.74354330708662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Sales Dollars
FY2012 Trend</a:t>
            </a:r>
          </a:p>
        </c:rich>
      </c:tx>
      <c:layout>
        <c:manualLayout>
          <c:xMode val="edge"/>
          <c:yMode val="edge"/>
          <c:x val="0.3140000000000036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0000000000041"/>
          <c:y val="0.320896107043111"/>
          <c:w val="0.72200000000000064"/>
          <c:h val="0.37313500818966272"/>
        </c:manualLayout>
      </c:layout>
      <c:lineChart>
        <c:grouping val="standard"/>
        <c:varyColors val="0"/>
        <c:ser>
          <c:idx val="1"/>
          <c:order val="0"/>
          <c:tx>
            <c:v>PIN Debit 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'FY2012'!$A$17:$A$28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'FY2012'!$C$17:$C$28</c:f>
              <c:numCache>
                <c:formatCode>_("$"* #,##0_);_("$"* \(#,##0\);_("$"* "-"??_);_(@_)</c:formatCode>
                <c:ptCount val="12"/>
                <c:pt idx="0">
                  <c:v>211424832</c:v>
                </c:pt>
                <c:pt idx="1">
                  <c:v>207728753.31</c:v>
                </c:pt>
                <c:pt idx="2">
                  <c:v>221708758</c:v>
                </c:pt>
                <c:pt idx="3">
                  <c:v>205884255</c:v>
                </c:pt>
                <c:pt idx="4">
                  <c:v>211128500</c:v>
                </c:pt>
                <c:pt idx="5">
                  <c:v>220068302.31999999</c:v>
                </c:pt>
                <c:pt idx="6">
                  <c:v>211036392.41</c:v>
                </c:pt>
                <c:pt idx="7">
                  <c:v>218710035</c:v>
                </c:pt>
                <c:pt idx="8">
                  <c:v>220505653</c:v>
                </c:pt>
                <c:pt idx="9">
                  <c:v>211730585</c:v>
                </c:pt>
                <c:pt idx="10">
                  <c:v>224658336.80000001</c:v>
                </c:pt>
                <c:pt idx="11">
                  <c:v>230461236</c:v>
                </c:pt>
              </c:numCache>
            </c:numRef>
          </c:val>
          <c:smooth val="0"/>
        </c:ser>
        <c:ser>
          <c:idx val="3"/>
          <c:order val="1"/>
          <c:tx>
            <c:v>PIN Debit 2011</c:v>
          </c:tx>
          <c:val>
            <c:numRef>
              <c:f>'FY2011'!$C$18:$C$29</c:f>
              <c:numCache>
                <c:formatCode>_("$"* #,##0_);_("$"* \(#,##0\);_("$"* "-"??_);_(@_)</c:formatCode>
                <c:ptCount val="12"/>
                <c:pt idx="0">
                  <c:v>204861464.94999999</c:v>
                </c:pt>
                <c:pt idx="1">
                  <c:v>194394741.47999999</c:v>
                </c:pt>
                <c:pt idx="2">
                  <c:v>205489113</c:v>
                </c:pt>
                <c:pt idx="3">
                  <c:v>198520610</c:v>
                </c:pt>
                <c:pt idx="4">
                  <c:v>185496077</c:v>
                </c:pt>
                <c:pt idx="5">
                  <c:v>201254413</c:v>
                </c:pt>
                <c:pt idx="6">
                  <c:v>203187477</c:v>
                </c:pt>
                <c:pt idx="7">
                  <c:v>203260624</c:v>
                </c:pt>
                <c:pt idx="8">
                  <c:v>191492037</c:v>
                </c:pt>
                <c:pt idx="9">
                  <c:v>201987028</c:v>
                </c:pt>
                <c:pt idx="10">
                  <c:v>197799494</c:v>
                </c:pt>
                <c:pt idx="11">
                  <c:v>205150436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83296"/>
        <c:axId val="113384832"/>
      </c:lineChart>
      <c:dateAx>
        <c:axId val="1133832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848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384832"/>
        <c:scaling>
          <c:orientation val="minMax"/>
          <c:min val="18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3395355378309409E-2"/>
              <c:y val="0.48880692194845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83296"/>
        <c:crosses val="autoZero"/>
        <c:crossBetween val="between"/>
        <c:majorUnit val="10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600687346976392"/>
          <c:y val="0.86603554783788905"/>
          <c:w val="0.50609412493151429"/>
          <c:h val="9.41632486053311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Number of Transactions
FY2012</a:t>
            </a:r>
            <a:r>
              <a:rPr lang="en-US" baseline="0"/>
              <a:t> </a:t>
            </a:r>
            <a:r>
              <a:rPr lang="en-US"/>
              <a:t>Trend</a:t>
            </a:r>
          </a:p>
        </c:rich>
      </c:tx>
      <c:layout>
        <c:manualLayout>
          <c:xMode val="edge"/>
          <c:yMode val="edge"/>
          <c:x val="0.31388329979879825"/>
          <c:y val="3.7453183520599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42"/>
          <c:w val="0.74446680080482897"/>
          <c:h val="0.37078787302447735"/>
        </c:manualLayout>
      </c:layout>
      <c:lineChart>
        <c:grouping val="standard"/>
        <c:varyColors val="0"/>
        <c:ser>
          <c:idx val="1"/>
          <c:order val="0"/>
          <c:tx>
            <c:v>PIN Debit 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'FY2012'!$A$33:$A$44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'FY2012'!$C$33:$C$44</c:f>
              <c:numCache>
                <c:formatCode>[Black]#,##0;[Black]\-#,##0</c:formatCode>
                <c:ptCount val="12"/>
                <c:pt idx="0">
                  <c:v>2837421</c:v>
                </c:pt>
                <c:pt idx="1">
                  <c:v>2768231</c:v>
                </c:pt>
                <c:pt idx="2">
                  <c:v>2856005</c:v>
                </c:pt>
                <c:pt idx="3">
                  <c:v>2773958</c:v>
                </c:pt>
                <c:pt idx="4">
                  <c:v>2807394</c:v>
                </c:pt>
                <c:pt idx="5">
                  <c:v>2996465</c:v>
                </c:pt>
                <c:pt idx="6">
                  <c:v>2890871</c:v>
                </c:pt>
                <c:pt idx="7">
                  <c:v>3045930</c:v>
                </c:pt>
                <c:pt idx="8">
                  <c:v>3017903</c:v>
                </c:pt>
                <c:pt idx="9">
                  <c:v>2930068</c:v>
                </c:pt>
                <c:pt idx="10">
                  <c:v>3129911</c:v>
                </c:pt>
                <c:pt idx="11">
                  <c:v>3117200</c:v>
                </c:pt>
              </c:numCache>
            </c:numRef>
          </c:val>
          <c:smooth val="0"/>
        </c:ser>
        <c:ser>
          <c:idx val="2"/>
          <c:order val="1"/>
          <c:tx>
            <c:v>PIN Debit 2011</c:v>
          </c:tx>
          <c:spPr>
            <a:ln>
              <a:solidFill>
                <a:srgbClr val="7030A0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7030A0"/>
                </a:solidFill>
              </a:ln>
            </c:spPr>
          </c:marker>
          <c:val>
            <c:numRef>
              <c:f>'FY2011'!$C$34:$C$45</c:f>
              <c:numCache>
                <c:formatCode>[Black]#,##0;[Black]\-#,##0</c:formatCode>
                <c:ptCount val="12"/>
                <c:pt idx="0">
                  <c:v>2742674</c:v>
                </c:pt>
                <c:pt idx="1">
                  <c:v>2602330</c:v>
                </c:pt>
                <c:pt idx="2">
                  <c:v>2670307</c:v>
                </c:pt>
                <c:pt idx="3">
                  <c:v>2644287</c:v>
                </c:pt>
                <c:pt idx="4">
                  <c:v>2478299</c:v>
                </c:pt>
                <c:pt idx="5">
                  <c:v>2753231</c:v>
                </c:pt>
                <c:pt idx="6">
                  <c:v>2734993</c:v>
                </c:pt>
                <c:pt idx="7">
                  <c:v>2750883</c:v>
                </c:pt>
                <c:pt idx="8">
                  <c:v>2637336</c:v>
                </c:pt>
                <c:pt idx="9">
                  <c:v>2694067</c:v>
                </c:pt>
                <c:pt idx="10">
                  <c:v>2701393</c:v>
                </c:pt>
                <c:pt idx="11">
                  <c:v>2747644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18624"/>
        <c:axId val="113420544"/>
      </c:lineChart>
      <c:dateAx>
        <c:axId val="1134186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205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420544"/>
        <c:scaling>
          <c:orientation val="minMax"/>
          <c:max val="3250000"/>
          <c:min val="2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1.3545020159193387E-2"/>
              <c:y val="0.3632970597776403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#,##0;[Black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18624"/>
        <c:crosses val="autoZero"/>
        <c:crossBetween val="between"/>
        <c:majorUnit val="250000"/>
        <c:min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67689003909834"/>
          <c:y val="0.88602750498884253"/>
          <c:w val="0.5403420027042074"/>
          <c:h val="7.4022432589184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portrait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
FY2012 Trend</a:t>
            </a:r>
          </a:p>
        </c:rich>
      </c:tx>
      <c:layout>
        <c:manualLayout>
          <c:xMode val="edge"/>
          <c:yMode val="edge"/>
          <c:x val="0.31400000000000361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0000000000012"/>
          <c:y val="0.31970260223048996"/>
          <c:w val="0.81200000000000061"/>
          <c:h val="0.37546468401488442"/>
        </c:manualLayout>
      </c:layout>
      <c:lineChart>
        <c:grouping val="standard"/>
        <c:varyColors val="0"/>
        <c:ser>
          <c:idx val="1"/>
          <c:order val="0"/>
          <c:tx>
            <c:v>PIN Debit 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'FY2012'!$A$67:$A$78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'FY2012'!$C$67:$C$78</c:f>
              <c:numCache>
                <c:formatCode>"$"#,##0</c:formatCode>
                <c:ptCount val="12"/>
                <c:pt idx="0">
                  <c:v>706513.09999999986</c:v>
                </c:pt>
                <c:pt idx="1">
                  <c:v>719959.22999999986</c:v>
                </c:pt>
                <c:pt idx="2">
                  <c:v>749991.60000000009</c:v>
                </c:pt>
                <c:pt idx="3">
                  <c:v>702725.10000000009</c:v>
                </c:pt>
                <c:pt idx="4">
                  <c:v>722662.79000000027</c:v>
                </c:pt>
                <c:pt idx="5">
                  <c:v>784746.1</c:v>
                </c:pt>
                <c:pt idx="6">
                  <c:v>722652.05999999994</c:v>
                </c:pt>
                <c:pt idx="7">
                  <c:v>786373.25999999989</c:v>
                </c:pt>
                <c:pt idx="8">
                  <c:v>782377.27999999991</c:v>
                </c:pt>
                <c:pt idx="9">
                  <c:v>740166.21000000031</c:v>
                </c:pt>
                <c:pt idx="10">
                  <c:v>818195.74000000022</c:v>
                </c:pt>
                <c:pt idx="11">
                  <c:v>788317.35000000009</c:v>
                </c:pt>
              </c:numCache>
            </c:numRef>
          </c:val>
          <c:smooth val="0"/>
        </c:ser>
        <c:ser>
          <c:idx val="3"/>
          <c:order val="1"/>
          <c:tx>
            <c:v>PIN Debit 2011</c:v>
          </c:tx>
          <c:val>
            <c:numRef>
              <c:f>'FY2011'!$C$68:$C$79</c:f>
              <c:numCache>
                <c:formatCode>"$"#,##0</c:formatCode>
                <c:ptCount val="12"/>
                <c:pt idx="0">
                  <c:v>869767.96</c:v>
                </c:pt>
                <c:pt idx="1">
                  <c:v>816758.36</c:v>
                </c:pt>
                <c:pt idx="2">
                  <c:v>859992.62</c:v>
                </c:pt>
                <c:pt idx="3">
                  <c:v>816883.41</c:v>
                </c:pt>
                <c:pt idx="4">
                  <c:v>831121</c:v>
                </c:pt>
                <c:pt idx="5">
                  <c:v>946350.06</c:v>
                </c:pt>
                <c:pt idx="6">
                  <c:v>926955</c:v>
                </c:pt>
                <c:pt idx="7">
                  <c:v>884044</c:v>
                </c:pt>
                <c:pt idx="8">
                  <c:v>881759</c:v>
                </c:pt>
                <c:pt idx="9">
                  <c:v>897184</c:v>
                </c:pt>
                <c:pt idx="10">
                  <c:v>898622</c:v>
                </c:pt>
                <c:pt idx="11">
                  <c:v>931889.7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26208"/>
        <c:axId val="114128000"/>
      </c:lineChart>
      <c:dateAx>
        <c:axId val="1141262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280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128000"/>
        <c:scaling>
          <c:orientation val="minMax"/>
          <c:max val="1000000"/>
          <c:min val="6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26208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938158702268868"/>
          <c:y val="0.86382805701055398"/>
          <c:w val="0.4901672992605709"/>
          <c:h val="0.10576653353992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portrait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Network Fees
FY2012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3036437247181"/>
          <c:y val="0.3010634415798954"/>
          <c:w val="0.8137651821862345"/>
          <c:h val="0.40023728115914958"/>
        </c:manualLayout>
      </c:layout>
      <c:lineChart>
        <c:grouping val="standard"/>
        <c:varyColors val="0"/>
        <c:ser>
          <c:idx val="1"/>
          <c:order val="0"/>
          <c:tx>
            <c:v>PIN Debit 2012</c:v>
          </c:tx>
          <c:spPr>
            <a:ln w="22225">
              <a:solidFill>
                <a:srgbClr val="FF33CC"/>
              </a:solidFill>
            </a:ln>
          </c:spPr>
          <c:marker>
            <c:spPr>
              <a:ln>
                <a:solidFill>
                  <a:srgbClr val="FF33CC"/>
                </a:solidFill>
              </a:ln>
            </c:spPr>
          </c:marker>
          <c:cat>
            <c:numRef>
              <c:f>'FY2012'!$A$84:$A$95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'FY2012'!$C$84:$C$95</c:f>
              <c:numCache>
                <c:formatCode>"$"#,##0</c:formatCode>
                <c:ptCount val="12"/>
                <c:pt idx="0">
                  <c:v>99860.660000000149</c:v>
                </c:pt>
                <c:pt idx="1">
                  <c:v>101172.3600000001</c:v>
                </c:pt>
                <c:pt idx="2">
                  <c:v>104629.99999999988</c:v>
                </c:pt>
                <c:pt idx="3">
                  <c:v>100285.11999999988</c:v>
                </c:pt>
                <c:pt idx="4">
                  <c:v>100876.40999999968</c:v>
                </c:pt>
                <c:pt idx="5">
                  <c:v>109579.30000000005</c:v>
                </c:pt>
                <c:pt idx="6">
                  <c:v>103051.09000000008</c:v>
                </c:pt>
                <c:pt idx="7">
                  <c:v>108115.3600000001</c:v>
                </c:pt>
                <c:pt idx="8">
                  <c:v>105811.02000000014</c:v>
                </c:pt>
                <c:pt idx="9">
                  <c:v>99893.659999999683</c:v>
                </c:pt>
                <c:pt idx="10">
                  <c:v>110094.7899999998</c:v>
                </c:pt>
                <c:pt idx="11">
                  <c:v>104855.79999999993</c:v>
                </c:pt>
              </c:numCache>
            </c:numRef>
          </c:val>
          <c:smooth val="0"/>
        </c:ser>
        <c:ser>
          <c:idx val="3"/>
          <c:order val="1"/>
          <c:tx>
            <c:v>PIN Debit 2011</c:v>
          </c:tx>
          <c:cat>
            <c:numRef>
              <c:f>'FY2012'!$A$84:$A$95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'FY2011'!$C$85:$C$96</c:f>
              <c:numCache>
                <c:formatCode>"$"#,##0</c:formatCode>
                <c:ptCount val="12"/>
                <c:pt idx="4">
                  <c:v>93289.59</c:v>
                </c:pt>
                <c:pt idx="5">
                  <c:v>105591.58999999997</c:v>
                </c:pt>
                <c:pt idx="6">
                  <c:v>100923.86999999997</c:v>
                </c:pt>
                <c:pt idx="7">
                  <c:v>96328.930000000022</c:v>
                </c:pt>
                <c:pt idx="8">
                  <c:v>96117.430000000022</c:v>
                </c:pt>
                <c:pt idx="9">
                  <c:v>97518.270000000077</c:v>
                </c:pt>
                <c:pt idx="10">
                  <c:v>97906.25000000016</c:v>
                </c:pt>
                <c:pt idx="11">
                  <c:v>108733.17999999982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39360"/>
        <c:axId val="114240896"/>
      </c:lineChart>
      <c:dateAx>
        <c:axId val="1142393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408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24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39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988342186467246"/>
          <c:y val="0.84349251968503935"/>
          <c:w val="0.55073351597829234"/>
          <c:h val="0.10150748031496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Number of Transactions
FY2017</a:t>
            </a:r>
            <a:r>
              <a:rPr lang="en-US" baseline="0"/>
              <a:t> </a:t>
            </a:r>
            <a:r>
              <a:rPr lang="en-US"/>
              <a:t>Trend</a:t>
            </a:r>
          </a:p>
        </c:rich>
      </c:tx>
      <c:layout>
        <c:manualLayout>
          <c:xMode val="edge"/>
          <c:yMode val="edge"/>
          <c:x val="0.31388329979879853"/>
          <c:y val="3.7453183520599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75"/>
          <c:w val="0.74446680080482897"/>
          <c:h val="0.37078787302447785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'FY2015'!$C$25:$C$36</c:f>
              <c:numCache>
                <c:formatCode>[Black]#,##0;[Black]\-#,##0</c:formatCode>
                <c:ptCount val="12"/>
                <c:pt idx="0">
                  <c:v>3312611</c:v>
                </c:pt>
                <c:pt idx="1">
                  <c:v>3282201</c:v>
                </c:pt>
                <c:pt idx="2">
                  <c:v>2735486</c:v>
                </c:pt>
                <c:pt idx="3">
                  <c:v>3208287</c:v>
                </c:pt>
                <c:pt idx="4">
                  <c:v>3034091</c:v>
                </c:pt>
                <c:pt idx="5">
                  <c:v>3104244</c:v>
                </c:pt>
                <c:pt idx="6">
                  <c:v>3185402</c:v>
                </c:pt>
                <c:pt idx="7">
                  <c:v>3364797</c:v>
                </c:pt>
                <c:pt idx="8">
                  <c:v>3038079</c:v>
                </c:pt>
                <c:pt idx="9">
                  <c:v>3156518</c:v>
                </c:pt>
                <c:pt idx="10">
                  <c:v>3277573</c:v>
                </c:pt>
                <c:pt idx="11">
                  <c:v>3119420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'FY2014'!$C$25:$C$36</c:f>
              <c:numCache>
                <c:formatCode>[Black]#,##0;[Black]\-#,##0</c:formatCode>
                <c:ptCount val="12"/>
                <c:pt idx="0">
                  <c:v>2747440</c:v>
                </c:pt>
                <c:pt idx="1">
                  <c:v>3258616</c:v>
                </c:pt>
                <c:pt idx="2">
                  <c:v>2999811</c:v>
                </c:pt>
                <c:pt idx="3">
                  <c:v>3104244</c:v>
                </c:pt>
                <c:pt idx="4">
                  <c:v>2976107</c:v>
                </c:pt>
                <c:pt idx="5">
                  <c:v>3303871</c:v>
                </c:pt>
                <c:pt idx="6">
                  <c:v>3152248</c:v>
                </c:pt>
                <c:pt idx="7">
                  <c:v>3322288</c:v>
                </c:pt>
                <c:pt idx="8">
                  <c:v>3126117</c:v>
                </c:pt>
                <c:pt idx="9">
                  <c:v>3109711</c:v>
                </c:pt>
                <c:pt idx="10">
                  <c:v>3361642</c:v>
                </c:pt>
                <c:pt idx="11">
                  <c:v>3090778</c:v>
                </c:pt>
              </c:numCache>
            </c:numRef>
          </c:val>
          <c:smooth val="0"/>
        </c:ser>
        <c:ser>
          <c:idx val="3"/>
          <c:order val="2"/>
          <c:tx>
            <c:v>PIN Debit 2013</c:v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'FY2013'!$C$25:$C$36</c:f>
              <c:numCache>
                <c:formatCode>[Black]#,##0;[Black]\-#,##0</c:formatCode>
                <c:ptCount val="12"/>
                <c:pt idx="0">
                  <c:v>3089139</c:v>
                </c:pt>
                <c:pt idx="1">
                  <c:v>3129893</c:v>
                </c:pt>
                <c:pt idx="2">
                  <c:v>3140413</c:v>
                </c:pt>
                <c:pt idx="3">
                  <c:v>3072954</c:v>
                </c:pt>
                <c:pt idx="4">
                  <c:v>3030850</c:v>
                </c:pt>
                <c:pt idx="5">
                  <c:v>3418073</c:v>
                </c:pt>
                <c:pt idx="6">
                  <c:v>3106396</c:v>
                </c:pt>
                <c:pt idx="7">
                  <c:v>3326812</c:v>
                </c:pt>
                <c:pt idx="8">
                  <c:v>3177057</c:v>
                </c:pt>
                <c:pt idx="9">
                  <c:v>2796040</c:v>
                </c:pt>
                <c:pt idx="10">
                  <c:v>3148673</c:v>
                </c:pt>
                <c:pt idx="11">
                  <c:v>3089060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'FY2012'!$C$33:$C$44</c:f>
              <c:numCache>
                <c:formatCode>[Black]#,##0;[Black]\-#,##0</c:formatCode>
                <c:ptCount val="12"/>
                <c:pt idx="0">
                  <c:v>2837421</c:v>
                </c:pt>
                <c:pt idx="1">
                  <c:v>2768231</c:v>
                </c:pt>
                <c:pt idx="2">
                  <c:v>2856005</c:v>
                </c:pt>
                <c:pt idx="3">
                  <c:v>2773958</c:v>
                </c:pt>
                <c:pt idx="4">
                  <c:v>2807394</c:v>
                </c:pt>
                <c:pt idx="5">
                  <c:v>2996465</c:v>
                </c:pt>
                <c:pt idx="6">
                  <c:v>2890871</c:v>
                </c:pt>
                <c:pt idx="7">
                  <c:v>3045930</c:v>
                </c:pt>
                <c:pt idx="8">
                  <c:v>3017903</c:v>
                </c:pt>
                <c:pt idx="9">
                  <c:v>2930068</c:v>
                </c:pt>
                <c:pt idx="10">
                  <c:v>3129911</c:v>
                </c:pt>
                <c:pt idx="11">
                  <c:v>3117200</c:v>
                </c:pt>
              </c:numCache>
            </c:numRef>
          </c:val>
          <c:smooth val="0"/>
        </c:ser>
        <c:ser>
          <c:idx val="2"/>
          <c:order val="4"/>
          <c:tx>
            <c:v>PIN Debit 2011</c:v>
          </c:tx>
          <c:spPr>
            <a:ln>
              <a:solidFill>
                <a:srgbClr val="7030A0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7030A0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'FY2011'!$C$34:$C$45</c:f>
              <c:numCache>
                <c:formatCode>[Black]#,##0;[Black]\-#,##0</c:formatCode>
                <c:ptCount val="12"/>
                <c:pt idx="0">
                  <c:v>2742674</c:v>
                </c:pt>
                <c:pt idx="1">
                  <c:v>2602330</c:v>
                </c:pt>
                <c:pt idx="2">
                  <c:v>2670307</c:v>
                </c:pt>
                <c:pt idx="3">
                  <c:v>2644287</c:v>
                </c:pt>
                <c:pt idx="4">
                  <c:v>2478299</c:v>
                </c:pt>
                <c:pt idx="5">
                  <c:v>2753231</c:v>
                </c:pt>
                <c:pt idx="6">
                  <c:v>2734993</c:v>
                </c:pt>
                <c:pt idx="7">
                  <c:v>2750883</c:v>
                </c:pt>
                <c:pt idx="8">
                  <c:v>2637336</c:v>
                </c:pt>
                <c:pt idx="9">
                  <c:v>2694067</c:v>
                </c:pt>
                <c:pt idx="10">
                  <c:v>2701393</c:v>
                </c:pt>
                <c:pt idx="11">
                  <c:v>2747644</c:v>
                </c:pt>
              </c:numCache>
            </c:numRef>
          </c:val>
          <c:smooth val="0"/>
        </c:ser>
        <c:ser>
          <c:idx val="5"/>
          <c:order val="5"/>
          <c:tx>
            <c:v>PIN Debit 2016</c:v>
          </c:tx>
          <c:val>
            <c:numRef>
              <c:f>'FY2016'!$C$25:$C$36</c:f>
              <c:numCache>
                <c:formatCode>[Black]#,##0;[Black]\-#,##0</c:formatCode>
                <c:ptCount val="12"/>
                <c:pt idx="0" formatCode="_(* #,##0_);_(* \(#,##0\);_(* &quot;-&quot;??_);_(@_)">
                  <c:v>3362402</c:v>
                </c:pt>
                <c:pt idx="1">
                  <c:v>3250444</c:v>
                </c:pt>
                <c:pt idx="2">
                  <c:v>3206526</c:v>
                </c:pt>
                <c:pt idx="3">
                  <c:v>3278345</c:v>
                </c:pt>
                <c:pt idx="4">
                  <c:v>3176558</c:v>
                </c:pt>
                <c:pt idx="5">
                  <c:v>3362760</c:v>
                </c:pt>
                <c:pt idx="6">
                  <c:v>3271535</c:v>
                </c:pt>
                <c:pt idx="7">
                  <c:v>3205369</c:v>
                </c:pt>
                <c:pt idx="8">
                  <c:v>2923838</c:v>
                </c:pt>
                <c:pt idx="9">
                  <c:v>2920803</c:v>
                </c:pt>
                <c:pt idx="10">
                  <c:v>2893258</c:v>
                </c:pt>
                <c:pt idx="11">
                  <c:v>2887176</c:v>
                </c:pt>
              </c:numCache>
            </c:numRef>
          </c:val>
          <c:smooth val="0"/>
        </c:ser>
        <c:ser>
          <c:idx val="6"/>
          <c:order val="6"/>
          <c:tx>
            <c:v>PIN Debit 2017</c:v>
          </c:tx>
          <c:val>
            <c:numRef>
              <c:f>'FY2017'!$C$25:$C$36</c:f>
              <c:numCache>
                <c:formatCode>[Black]#,##0;[Black]\-#,##0</c:formatCode>
                <c:ptCount val="12"/>
                <c:pt idx="0" formatCode="_(* #,##0_);_(* \(#,##0\);_(* &quot;-&quot;??_);_(@_)">
                  <c:v>3001422</c:v>
                </c:pt>
                <c:pt idx="1">
                  <c:v>2886634</c:v>
                </c:pt>
                <c:pt idx="2">
                  <c:v>2986456</c:v>
                </c:pt>
                <c:pt idx="3">
                  <c:v>2880954</c:v>
                </c:pt>
                <c:pt idx="4">
                  <c:v>2857428</c:v>
                </c:pt>
                <c:pt idx="5">
                  <c:v>3193451</c:v>
                </c:pt>
                <c:pt idx="6">
                  <c:v>3066080</c:v>
                </c:pt>
                <c:pt idx="7">
                  <c:v>3016899</c:v>
                </c:pt>
                <c:pt idx="8">
                  <c:v>2975205</c:v>
                </c:pt>
                <c:pt idx="9">
                  <c:v>2911770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60288"/>
        <c:axId val="82878464"/>
      </c:lineChart>
      <c:dateAx>
        <c:axId val="828602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8784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878464"/>
        <c:scaling>
          <c:orientation val="minMax"/>
          <c:max val="3500000"/>
          <c:min val="22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1.3545020159193387E-2"/>
              <c:y val="0.3632970597776403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#,##0;[Black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860288"/>
        <c:crosses val="autoZero"/>
        <c:crossBetween val="between"/>
        <c:majorUnit val="250000"/>
        <c:min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935418465490506E-2"/>
          <c:y val="0.80694456203727227"/>
          <c:w val="0.8812985038081369"/>
          <c:h val="0.19305529774557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Signature</a:t>
            </a:r>
            <a:r>
              <a:rPr lang="en-US" baseline="0"/>
              <a:t> Debit Transactions</a:t>
            </a:r>
            <a:r>
              <a:rPr lang="en-US"/>
              <a:t>
FY2012 Trend</a:t>
            </a:r>
          </a:p>
        </c:rich>
      </c:tx>
      <c:layout>
        <c:manualLayout>
          <c:xMode val="edge"/>
          <c:yMode val="edge"/>
          <c:x val="0.2969618686619378"/>
          <c:y val="3.69779527559059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0"/>
          <c:order val="0"/>
          <c:tx>
            <c:v>Sig Debit Tran Count 2012</c:v>
          </c:tx>
          <c:spPr>
            <a:ln w="12700"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'FY2012'!$A$101:$A$112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'FY2012'!$B$101:$B$112</c:f>
              <c:numCache>
                <c:formatCode>#,##0</c:formatCode>
                <c:ptCount val="12"/>
                <c:pt idx="0">
                  <c:v>2335314</c:v>
                </c:pt>
                <c:pt idx="1">
                  <c:v>2226585</c:v>
                </c:pt>
                <c:pt idx="2">
                  <c:v>2361670</c:v>
                </c:pt>
                <c:pt idx="3">
                  <c:v>2286304</c:v>
                </c:pt>
                <c:pt idx="4">
                  <c:v>2422856</c:v>
                </c:pt>
                <c:pt idx="5">
                  <c:v>2660111</c:v>
                </c:pt>
                <c:pt idx="6">
                  <c:v>2407902</c:v>
                </c:pt>
                <c:pt idx="7">
                  <c:v>2559494</c:v>
                </c:pt>
                <c:pt idx="8">
                  <c:v>2566260</c:v>
                </c:pt>
                <c:pt idx="9">
                  <c:v>2417787</c:v>
                </c:pt>
                <c:pt idx="10">
                  <c:v>2589648</c:v>
                </c:pt>
                <c:pt idx="11">
                  <c:v>2359446</c:v>
                </c:pt>
              </c:numCache>
            </c:numRef>
          </c:val>
          <c:smooth val="0"/>
        </c:ser>
        <c:ser>
          <c:idx val="1"/>
          <c:order val="1"/>
          <c:tx>
            <c:v>Sig Debit Tran Count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val>
            <c:numRef>
              <c:f>'FY2011'!$B$102:$B$113</c:f>
              <c:numCache>
                <c:formatCode>#,##0</c:formatCode>
                <c:ptCount val="12"/>
                <c:pt idx="0">
                  <c:v>2074161</c:v>
                </c:pt>
                <c:pt idx="1">
                  <c:v>1974976</c:v>
                </c:pt>
                <c:pt idx="2">
                  <c:v>2125799</c:v>
                </c:pt>
                <c:pt idx="3">
                  <c:v>2058669</c:v>
                </c:pt>
                <c:pt idx="4">
                  <c:v>2084273</c:v>
                </c:pt>
                <c:pt idx="5">
                  <c:v>2399589</c:v>
                </c:pt>
                <c:pt idx="6">
                  <c:v>2321494</c:v>
                </c:pt>
                <c:pt idx="7">
                  <c:v>2320821</c:v>
                </c:pt>
                <c:pt idx="8">
                  <c:v>2387014</c:v>
                </c:pt>
                <c:pt idx="9">
                  <c:v>2494889</c:v>
                </c:pt>
                <c:pt idx="10">
                  <c:v>2422838</c:v>
                </c:pt>
                <c:pt idx="11">
                  <c:v>2321746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6112"/>
        <c:axId val="114268032"/>
      </c:lineChart>
      <c:dateAx>
        <c:axId val="1142661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68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268032"/>
        <c:scaling>
          <c:orientation val="minMax"/>
          <c:max val="2750000"/>
          <c:min val="17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66112"/>
        <c:crosses val="autoZero"/>
        <c:crossBetween val="between"/>
        <c:majorUnit val="25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50683456143336"/>
          <c:y val="0.84665472440945522"/>
          <c:w val="0.74295502163505633"/>
          <c:h val="9.83452755905512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portrait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Cost Per Transaction
FY2012 Trend</a:t>
            </a:r>
          </a:p>
        </c:rich>
      </c:tx>
      <c:layout>
        <c:manualLayout>
          <c:xMode val="edge"/>
          <c:yMode val="edge"/>
          <c:x val="0.31325301204819223"/>
          <c:y val="3.663007452535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460536442200781"/>
          <c:w val="0.80971659919028338"/>
          <c:h val="0.39315343547491688"/>
        </c:manualLayout>
      </c:layout>
      <c:lineChart>
        <c:grouping val="standard"/>
        <c:varyColors val="0"/>
        <c:ser>
          <c:idx val="1"/>
          <c:order val="0"/>
          <c:tx>
            <c:v>PIN Debit 2012</c:v>
          </c:tx>
          <c:spPr>
            <a:ln w="12700"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cat>
            <c:numRef>
              <c:f>'FY2012'!$A$119:$A$127</c:f>
              <c:numCache>
                <c:formatCode>mmm\-yy</c:formatCode>
                <c:ptCount val="9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</c:numCache>
            </c:numRef>
          </c:cat>
          <c:val>
            <c:numRef>
              <c:f>'FY2012'!$C$119:$C$130</c:f>
              <c:numCache>
                <c:formatCode>"$"#,##0.00</c:formatCode>
                <c:ptCount val="12"/>
                <c:pt idx="0">
                  <c:v>0.24899833334566843</c:v>
                </c:pt>
                <c:pt idx="1">
                  <c:v>0.2600791733059849</c:v>
                </c:pt>
                <c:pt idx="2">
                  <c:v>0.26260164110356954</c:v>
                </c:pt>
                <c:pt idx="3">
                  <c:v>0.25332939431671281</c:v>
                </c:pt>
                <c:pt idx="4">
                  <c:v>0.25741409648948466</c:v>
                </c:pt>
                <c:pt idx="5">
                  <c:v>0.26189062778974559</c:v>
                </c:pt>
                <c:pt idx="6">
                  <c:v>0.24997727674462122</c:v>
                </c:pt>
                <c:pt idx="7">
                  <c:v>0.258171809595099</c:v>
                </c:pt>
                <c:pt idx="8">
                  <c:v>0.25924533691109353</c:v>
                </c:pt>
                <c:pt idx="9">
                  <c:v>0.25261059129003161</c:v>
                </c:pt>
                <c:pt idx="10">
                  <c:v>0.2614118228920887</c:v>
                </c:pt>
                <c:pt idx="11">
                  <c:v>0.25289277235981011</c:v>
                </c:pt>
              </c:numCache>
            </c:numRef>
          </c:val>
          <c:smooth val="0"/>
        </c:ser>
        <c:ser>
          <c:idx val="3"/>
          <c:order val="1"/>
          <c:tx>
            <c:v>PIN Debit 2011</c:v>
          </c:tx>
          <c:val>
            <c:numRef>
              <c:f>'FY2011'!$C$120:$C$131</c:f>
              <c:numCache>
                <c:formatCode>"$"#,##0.00</c:formatCode>
                <c:ptCount val="12"/>
                <c:pt idx="0">
                  <c:v>0.31712407672220611</c:v>
                </c:pt>
                <c:pt idx="1">
                  <c:v>0.31385656699957343</c:v>
                </c:pt>
                <c:pt idx="2">
                  <c:v>0.32205758364113191</c:v>
                </c:pt>
                <c:pt idx="3">
                  <c:v>0.30892388382955405</c:v>
                </c:pt>
                <c:pt idx="4">
                  <c:v>0.33535945420629232</c:v>
                </c:pt>
                <c:pt idx="5">
                  <c:v>0.34372345073842336</c:v>
                </c:pt>
                <c:pt idx="6">
                  <c:v>0.33892408499765814</c:v>
                </c:pt>
                <c:pt idx="7">
                  <c:v>0.32136735731763222</c:v>
                </c:pt>
                <c:pt idx="8">
                  <c:v>0.33433699763700947</c:v>
                </c:pt>
                <c:pt idx="9">
                  <c:v>0.33302215572218508</c:v>
                </c:pt>
                <c:pt idx="10">
                  <c:v>0.33265133951261444</c:v>
                </c:pt>
                <c:pt idx="11">
                  <c:v>0.33915954905366197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70496"/>
        <c:axId val="114172288"/>
      </c:lineChart>
      <c:dateAx>
        <c:axId val="1141704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722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172288"/>
        <c:scaling>
          <c:orientation val="minMax"/>
          <c:max val="0.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70496"/>
        <c:crosses val="autoZero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912876961981867"/>
          <c:y val="0.85271413302478738"/>
          <c:w val="0.56876277060981395"/>
          <c:h val="6.37546111580958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Ticket
FY2012 Trend</a:t>
            </a:r>
          </a:p>
        </c:rich>
      </c:tx>
      <c:layout>
        <c:manualLayout>
          <c:xMode val="edge"/>
          <c:yMode val="edge"/>
          <c:x val="0.40236973463607251"/>
          <c:y val="4.24161309861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076923076924"/>
          <c:y val="0.30633802816901812"/>
          <c:w val="0.74291497975708498"/>
          <c:h val="0.38732394366197737"/>
        </c:manualLayout>
      </c:layout>
      <c:lineChart>
        <c:grouping val="standard"/>
        <c:varyColors val="0"/>
        <c:ser>
          <c:idx val="1"/>
          <c:order val="0"/>
          <c:tx>
            <c:v>PIN Debit 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'FY2012'!$A$50:$A$61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'FY2012'!$C$50:$C$61</c:f>
              <c:numCache>
                <c:formatCode>"$"#,##0.00</c:formatCode>
                <c:ptCount val="12"/>
                <c:pt idx="0">
                  <c:v>74.513028556565985</c:v>
                </c:pt>
                <c:pt idx="1">
                  <c:v>75.040252533115918</c:v>
                </c:pt>
                <c:pt idx="2">
                  <c:v>77.628981041699859</c:v>
                </c:pt>
                <c:pt idx="3">
                  <c:v>74.220393747850551</c:v>
                </c:pt>
                <c:pt idx="4">
                  <c:v>75.204442269236168</c:v>
                </c:pt>
                <c:pt idx="5">
                  <c:v>73.442640684940415</c:v>
                </c:pt>
                <c:pt idx="6">
                  <c:v>73.00097182129538</c:v>
                </c:pt>
                <c:pt idx="7">
                  <c:v>71.804025371561394</c:v>
                </c:pt>
                <c:pt idx="8">
                  <c:v>73.065851685756627</c:v>
                </c:pt>
                <c:pt idx="9">
                  <c:v>72.261321238961003</c:v>
                </c:pt>
                <c:pt idx="10">
                  <c:v>71.77786742178931</c:v>
                </c:pt>
                <c:pt idx="11">
                  <c:v>73.932130116771461</c:v>
                </c:pt>
              </c:numCache>
            </c:numRef>
          </c:val>
          <c:smooth val="0"/>
        </c:ser>
        <c:ser>
          <c:idx val="3"/>
          <c:order val="1"/>
          <c:tx>
            <c:v>Pin Debit 2011</c:v>
          </c:tx>
          <c:val>
            <c:numRef>
              <c:f>'FY2011'!$C$51:$C$62</c:f>
              <c:numCache>
                <c:formatCode>"$"#,##0.00</c:formatCode>
                <c:ptCount val="12"/>
                <c:pt idx="0">
                  <c:v>74.694063147862266</c:v>
                </c:pt>
                <c:pt idx="1">
                  <c:v>74.700265331452968</c:v>
                </c:pt>
                <c:pt idx="2">
                  <c:v>76.953366410678626</c:v>
                </c:pt>
                <c:pt idx="3">
                  <c:v>75.075288726223746</c:v>
                </c:pt>
                <c:pt idx="4">
                  <c:v>74.848142617174119</c:v>
                </c:pt>
                <c:pt idx="5">
                  <c:v>73.097539944886577</c:v>
                </c:pt>
                <c:pt idx="6">
                  <c:v>74.291772227570604</c:v>
                </c:pt>
                <c:pt idx="7">
                  <c:v>73.889229022099443</c:v>
                </c:pt>
                <c:pt idx="8">
                  <c:v>72.608130704620123</c:v>
                </c:pt>
                <c:pt idx="9">
                  <c:v>74.974760464383408</c:v>
                </c:pt>
                <c:pt idx="10">
                  <c:v>73.221295087386395</c:v>
                </c:pt>
                <c:pt idx="11">
                  <c:v>74.664125337925867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05824"/>
        <c:axId val="114207360"/>
      </c:lineChart>
      <c:dateAx>
        <c:axId val="1142058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07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207360"/>
        <c:scaling>
          <c:orientation val="minMax"/>
          <c:max val="8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69696969738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05824"/>
        <c:crosses val="autoZero"/>
        <c:crossBetween val="between"/>
        <c:majorUnit val="2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586637181813236"/>
          <c:y val="0.83481291885660658"/>
          <c:w val="0.5235261054634095"/>
          <c:h val="0.11059651042379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FY2012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4"/>
          <c:w val="0.8117408906882686"/>
          <c:h val="0.40023728115914958"/>
        </c:manualLayout>
      </c:layout>
      <c:lineChart>
        <c:grouping val="standard"/>
        <c:varyColors val="0"/>
        <c:ser>
          <c:idx val="1"/>
          <c:order val="0"/>
          <c:tx>
            <c:v>PIN Debit 2012</c:v>
          </c:tx>
          <c:spPr>
            <a:ln w="12700"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cat>
            <c:numRef>
              <c:f>'FY2012'!$A$136:$A$147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'FY2012'!$C$136:$C$147</c:f>
              <c:numCache>
                <c:formatCode>"$"#,##0.000</c:formatCode>
                <c:ptCount val="12"/>
                <c:pt idx="0">
                  <c:v>3.5194163996107787E-2</c:v>
                </c:pt>
                <c:pt idx="1">
                  <c:v>3.6547658053103262E-2</c:v>
                </c:pt>
                <c:pt idx="2">
                  <c:v>3.6635089924562415E-2</c:v>
                </c:pt>
                <c:pt idx="3">
                  <c:v>3.6152357029197946E-2</c:v>
                </c:pt>
                <c:pt idx="4">
                  <c:v>3.5932402078226171E-2</c:v>
                </c:pt>
                <c:pt idx="5">
                  <c:v>3.6569524422945053E-2</c:v>
                </c:pt>
                <c:pt idx="6">
                  <c:v>3.5647073148542457E-2</c:v>
                </c:pt>
                <c:pt idx="7">
                  <c:v>3.5495024508114141E-2</c:v>
                </c:pt>
                <c:pt idx="8">
                  <c:v>3.5061107000456983E-2</c:v>
                </c:pt>
                <c:pt idx="9">
                  <c:v>3.4092608089641499E-2</c:v>
                </c:pt>
                <c:pt idx="10">
                  <c:v>3.5175054498354681E-2</c:v>
                </c:pt>
                <c:pt idx="11">
                  <c:v>3.3637815988707791E-2</c:v>
                </c:pt>
              </c:numCache>
            </c:numRef>
          </c:val>
          <c:smooth val="0"/>
        </c:ser>
        <c:ser>
          <c:idx val="3"/>
          <c:order val="1"/>
          <c:tx>
            <c:v>PIN Debit 2011</c:v>
          </c:tx>
          <c:val>
            <c:numRef>
              <c:f>'FY2011'!$C$137:$C$148</c:f>
              <c:numCache>
                <c:formatCode>"$"#,##0.00</c:formatCode>
                <c:ptCount val="12"/>
                <c:pt idx="4" formatCode="&quot;$&quot;#,##0.000">
                  <c:v>3.7642588727187475E-2</c:v>
                </c:pt>
                <c:pt idx="5" formatCode="&quot;$&quot;#,##0.000">
                  <c:v>3.8351881843550345E-2</c:v>
                </c:pt>
                <c:pt idx="6" formatCode="&quot;$&quot;#,##0.000">
                  <c:v>3.6900960989662487E-2</c:v>
                </c:pt>
                <c:pt idx="7" formatCode="&quot;$&quot;#,##0.000">
                  <c:v>3.5017458030748683E-2</c:v>
                </c:pt>
                <c:pt idx="8" formatCode="&quot;$&quot;#,##0.000">
                  <c:v>3.6444893635092387E-2</c:v>
                </c:pt>
                <c:pt idx="9" formatCode="&quot;$&quot;#,##0.000">
                  <c:v>3.6197418252775476E-2</c:v>
                </c:pt>
                <c:pt idx="10" formatCode="&quot;$&quot;#,##0.000">
                  <c:v>3.6242875435007108E-2</c:v>
                </c:pt>
                <c:pt idx="11" formatCode="&quot;$&quot;#,##0.000">
                  <c:v>3.9573241657216082E-2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23456"/>
        <c:axId val="114324992"/>
      </c:lineChart>
      <c:dateAx>
        <c:axId val="1143234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249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324992"/>
        <c:scaling>
          <c:orientation val="minMax"/>
          <c:max val="4.300000000000001E-2"/>
          <c:min val="3.300000000000000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23456"/>
        <c:crosses val="autoZero"/>
        <c:crossBetween val="between"/>
        <c:majorUnit val="2.5000000000000092E-3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04485181838031"/>
          <c:y val="0.85756456692913352"/>
          <c:w val="0.50808079676836249"/>
          <c:h val="0.10243543307086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PCI Assist
FY2012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2"/>
          <c:y val="0.30526420389325226"/>
          <c:w val="0.81274979452289908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strRef>
              <c:f>'FY2012'!$D$210</c:f>
              <c:strCache>
                <c:ptCount val="1"/>
                <c:pt idx="0">
                  <c:v>Compliant Agencies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'FY2012'!$A$211:$A$222</c:f>
              <c:numCache>
                <c:formatCode>mmm\-yy</c:formatCode>
                <c:ptCount val="12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</c:numCache>
            </c:numRef>
          </c:cat>
          <c:val>
            <c:numRef>
              <c:f>'FY2012'!$D$211:$D$222</c:f>
              <c:numCache>
                <c:formatCode>#,##0</c:formatCode>
                <c:ptCount val="12"/>
                <c:pt idx="0">
                  <c:v>14</c:v>
                </c:pt>
                <c:pt idx="1">
                  <c:v>27</c:v>
                </c:pt>
                <c:pt idx="2">
                  <c:v>38</c:v>
                </c:pt>
                <c:pt idx="3">
                  <c:v>48</c:v>
                </c:pt>
                <c:pt idx="4">
                  <c:v>66</c:v>
                </c:pt>
                <c:pt idx="5">
                  <c:v>125</c:v>
                </c:pt>
                <c:pt idx="6">
                  <c:v>173</c:v>
                </c:pt>
                <c:pt idx="7">
                  <c:v>178</c:v>
                </c:pt>
                <c:pt idx="8">
                  <c:v>197</c:v>
                </c:pt>
                <c:pt idx="9">
                  <c:v>197</c:v>
                </c:pt>
                <c:pt idx="10">
                  <c:v>206</c:v>
                </c:pt>
                <c:pt idx="11">
                  <c:v>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3280"/>
        <c:axId val="114355200"/>
      </c:lineChart>
      <c:dateAx>
        <c:axId val="1143532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552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35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53280"/>
        <c:crosses val="autoZero"/>
        <c:crossBetween val="between"/>
        <c:maj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670300223479268"/>
          <c:y val="0.8622314071464029"/>
          <c:w val="0.1757336953685"/>
          <c:h val="6.21903450187538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landscape" horizontalDpi="-3" verticalDpi="1200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Sales Dollars
FY2011 Trend</a:t>
            </a:r>
          </a:p>
        </c:rich>
      </c:tx>
      <c:layout>
        <c:manualLayout>
          <c:xMode val="edge"/>
          <c:yMode val="edge"/>
          <c:x val="0.31400000000000339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0000000000041"/>
          <c:y val="0.32089610704311078"/>
          <c:w val="0.72200000000000064"/>
          <c:h val="0.3731350081896625"/>
        </c:manualLayout>
      </c:layout>
      <c:lineChart>
        <c:grouping val="standard"/>
        <c:varyColors val="0"/>
        <c:ser>
          <c:idx val="0"/>
          <c:order val="0"/>
          <c:tx>
            <c:strRef>
              <c:f>'FY2011'!$B$17</c:f>
              <c:strCache>
                <c:ptCount val="1"/>
                <c:pt idx="0">
                  <c:v>Credit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'FY2011'!$A$18:$A$29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'FY2011'!$B$18:$B$29</c:f>
              <c:numCache>
                <c:formatCode>_("$"* #,##0_);_("$"* \(#,##0\);_("$"* "-"??_);_(@_)</c:formatCode>
                <c:ptCount val="12"/>
                <c:pt idx="0">
                  <c:v>643239706.91999936</c:v>
                </c:pt>
                <c:pt idx="1">
                  <c:v>563623696.85000002</c:v>
                </c:pt>
                <c:pt idx="2">
                  <c:v>644106174</c:v>
                </c:pt>
                <c:pt idx="3">
                  <c:v>572836045</c:v>
                </c:pt>
                <c:pt idx="4">
                  <c:v>568963267</c:v>
                </c:pt>
                <c:pt idx="5">
                  <c:v>660066737</c:v>
                </c:pt>
                <c:pt idx="6">
                  <c:v>664490173</c:v>
                </c:pt>
                <c:pt idx="7">
                  <c:v>677854809</c:v>
                </c:pt>
                <c:pt idx="8">
                  <c:v>714424682</c:v>
                </c:pt>
                <c:pt idx="9">
                  <c:v>728432697</c:v>
                </c:pt>
                <c:pt idx="10">
                  <c:v>677421927</c:v>
                </c:pt>
                <c:pt idx="11">
                  <c:v>667170972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'FY2011'!$C$17</c:f>
              <c:strCache>
                <c:ptCount val="1"/>
                <c:pt idx="0">
                  <c:v>PIN Debit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'FY2011'!$A$18:$A$29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'FY2011'!$C$18:$C$29</c:f>
              <c:numCache>
                <c:formatCode>_("$"* #,##0_);_("$"* \(#,##0\);_("$"* "-"??_);_(@_)</c:formatCode>
                <c:ptCount val="12"/>
                <c:pt idx="0">
                  <c:v>204861464.94999999</c:v>
                </c:pt>
                <c:pt idx="1">
                  <c:v>194394741.47999999</c:v>
                </c:pt>
                <c:pt idx="2">
                  <c:v>205489113</c:v>
                </c:pt>
                <c:pt idx="3">
                  <c:v>198520610</c:v>
                </c:pt>
                <c:pt idx="4">
                  <c:v>185496077</c:v>
                </c:pt>
                <c:pt idx="5">
                  <c:v>201254413</c:v>
                </c:pt>
                <c:pt idx="6">
                  <c:v>203187477</c:v>
                </c:pt>
                <c:pt idx="7">
                  <c:v>203260624</c:v>
                </c:pt>
                <c:pt idx="8">
                  <c:v>191492037</c:v>
                </c:pt>
                <c:pt idx="9">
                  <c:v>201987028</c:v>
                </c:pt>
                <c:pt idx="10">
                  <c:v>197799494</c:v>
                </c:pt>
                <c:pt idx="11">
                  <c:v>205150436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20992"/>
        <c:axId val="112822912"/>
      </c:lineChart>
      <c:dateAx>
        <c:axId val="1128209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8229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82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3.2000000000000042E-2"/>
              <c:y val="0.488806753633412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820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17431796375214"/>
          <c:y val="0.89062761344210373"/>
          <c:w val="0.2925362665768253"/>
          <c:h val="7.93271558531429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Number of Transactions
FY2011 Trend</a:t>
            </a:r>
          </a:p>
        </c:rich>
      </c:tx>
      <c:layout>
        <c:manualLayout>
          <c:xMode val="edge"/>
          <c:yMode val="edge"/>
          <c:x val="0.31388329979879792"/>
          <c:y val="3.7453183520599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03"/>
          <c:w val="0.74446680080482897"/>
          <c:h val="0.37078787302447686"/>
        </c:manualLayout>
      </c:layout>
      <c:lineChart>
        <c:grouping val="standard"/>
        <c:varyColors val="0"/>
        <c:ser>
          <c:idx val="0"/>
          <c:order val="0"/>
          <c:tx>
            <c:strRef>
              <c:f>'FY2011'!$B$33</c:f>
              <c:strCache>
                <c:ptCount val="1"/>
                <c:pt idx="0">
                  <c:v>Credit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'FY2011'!$A$34:$A$45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'FY2011'!$B$34:$B$45</c:f>
              <c:numCache>
                <c:formatCode>[Black]#,##0;[Black]\-#,##0</c:formatCode>
                <c:ptCount val="12"/>
                <c:pt idx="0">
                  <c:v>5453504</c:v>
                </c:pt>
                <c:pt idx="1">
                  <c:v>5211941</c:v>
                </c:pt>
                <c:pt idx="2">
                  <c:v>5516954</c:v>
                </c:pt>
                <c:pt idx="3">
                  <c:v>5473873</c:v>
                </c:pt>
                <c:pt idx="4">
                  <c:v>5514669</c:v>
                </c:pt>
                <c:pt idx="5">
                  <c:v>6387329</c:v>
                </c:pt>
                <c:pt idx="6">
                  <c:v>6119678</c:v>
                </c:pt>
                <c:pt idx="7">
                  <c:v>6290760</c:v>
                </c:pt>
                <c:pt idx="8">
                  <c:v>6524688</c:v>
                </c:pt>
                <c:pt idx="9">
                  <c:v>6846598</c:v>
                </c:pt>
                <c:pt idx="10">
                  <c:v>6570270</c:v>
                </c:pt>
                <c:pt idx="11">
                  <c:v>6195641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'FY2011'!$C$33</c:f>
              <c:strCache>
                <c:ptCount val="1"/>
                <c:pt idx="0">
                  <c:v>PIN Debit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'FY2011'!$A$34:$A$45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'FY2011'!$C$34:$C$45</c:f>
              <c:numCache>
                <c:formatCode>[Black]#,##0;[Black]\-#,##0</c:formatCode>
                <c:ptCount val="12"/>
                <c:pt idx="0">
                  <c:v>2742674</c:v>
                </c:pt>
                <c:pt idx="1">
                  <c:v>2602330</c:v>
                </c:pt>
                <c:pt idx="2">
                  <c:v>2670307</c:v>
                </c:pt>
                <c:pt idx="3">
                  <c:v>2644287</c:v>
                </c:pt>
                <c:pt idx="4">
                  <c:v>2478299</c:v>
                </c:pt>
                <c:pt idx="5">
                  <c:v>2753231</c:v>
                </c:pt>
                <c:pt idx="6">
                  <c:v>2734993</c:v>
                </c:pt>
                <c:pt idx="7">
                  <c:v>2750883</c:v>
                </c:pt>
                <c:pt idx="8">
                  <c:v>2637336</c:v>
                </c:pt>
                <c:pt idx="9">
                  <c:v>2694067</c:v>
                </c:pt>
                <c:pt idx="10">
                  <c:v>2701393</c:v>
                </c:pt>
                <c:pt idx="11">
                  <c:v>2747644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52352"/>
        <c:axId val="113939968"/>
      </c:lineChart>
      <c:dateAx>
        <c:axId val="1128523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399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93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70597776403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#,##0;[Black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852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30769230769274"/>
          <c:y val="0.89601496381264223"/>
          <c:w val="0.29352226720648483"/>
          <c:h val="7.9807000825419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orientation="portrait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
FY2011 Trend</a:t>
            </a:r>
          </a:p>
        </c:rich>
      </c:tx>
      <c:layout>
        <c:manualLayout>
          <c:xMode val="edge"/>
          <c:yMode val="edge"/>
          <c:x val="0.3140000000000033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0000000000012"/>
          <c:y val="0.31970260223048963"/>
          <c:w val="0.81200000000000061"/>
          <c:h val="0.37546468401488386"/>
        </c:manualLayout>
      </c:layout>
      <c:lineChart>
        <c:grouping val="standard"/>
        <c:varyColors val="0"/>
        <c:ser>
          <c:idx val="0"/>
          <c:order val="0"/>
          <c:tx>
            <c:strRef>
              <c:f>'FY2011'!$B$67</c:f>
              <c:strCache>
                <c:ptCount val="1"/>
                <c:pt idx="0">
                  <c:v>Credit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'FY2011'!$A$68:$A$79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'FY2011'!$B$68:$B$79</c:f>
              <c:numCache>
                <c:formatCode>"$"#,##0</c:formatCode>
                <c:ptCount val="12"/>
                <c:pt idx="0">
                  <c:v>10754188.27999996</c:v>
                </c:pt>
                <c:pt idx="1">
                  <c:v>9229645.3699999992</c:v>
                </c:pt>
                <c:pt idx="2">
                  <c:v>10607398.27</c:v>
                </c:pt>
                <c:pt idx="3">
                  <c:v>9304238.8599999994</c:v>
                </c:pt>
                <c:pt idx="4">
                  <c:v>9168267</c:v>
                </c:pt>
                <c:pt idx="5">
                  <c:v>10804872.029999999</c:v>
                </c:pt>
                <c:pt idx="6">
                  <c:v>11039319</c:v>
                </c:pt>
                <c:pt idx="7">
                  <c:v>11244004</c:v>
                </c:pt>
                <c:pt idx="8">
                  <c:v>12028464</c:v>
                </c:pt>
                <c:pt idx="9">
                  <c:v>12168184.85</c:v>
                </c:pt>
                <c:pt idx="10">
                  <c:v>11351389</c:v>
                </c:pt>
                <c:pt idx="11">
                  <c:v>11211485.620000001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'FY2011'!$C$67</c:f>
              <c:strCache>
                <c:ptCount val="1"/>
                <c:pt idx="0">
                  <c:v>PIN Debit*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'FY2011'!$A$68:$A$79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'FY2011'!$C$68:$C$79</c:f>
              <c:numCache>
                <c:formatCode>"$"#,##0</c:formatCode>
                <c:ptCount val="12"/>
                <c:pt idx="0">
                  <c:v>869767.96</c:v>
                </c:pt>
                <c:pt idx="1">
                  <c:v>816758.36</c:v>
                </c:pt>
                <c:pt idx="2">
                  <c:v>859992.62</c:v>
                </c:pt>
                <c:pt idx="3">
                  <c:v>816883.41</c:v>
                </c:pt>
                <c:pt idx="4">
                  <c:v>831121</c:v>
                </c:pt>
                <c:pt idx="5">
                  <c:v>946350.06</c:v>
                </c:pt>
                <c:pt idx="6">
                  <c:v>926955</c:v>
                </c:pt>
                <c:pt idx="7">
                  <c:v>884044</c:v>
                </c:pt>
                <c:pt idx="8">
                  <c:v>881759</c:v>
                </c:pt>
                <c:pt idx="9">
                  <c:v>897184</c:v>
                </c:pt>
                <c:pt idx="10">
                  <c:v>898622</c:v>
                </c:pt>
                <c:pt idx="11">
                  <c:v>931889.7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83968"/>
        <c:axId val="112890240"/>
      </c:lineChart>
      <c:dateAx>
        <c:axId val="1128839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8902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890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5.3333333333334372E-3"/>
              <c:y val="0.4869888475836508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883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332338379032876"/>
          <c:y val="0.89423339325360007"/>
          <c:w val="0.2925362665768253"/>
          <c:h val="7.93271558531429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orientation="portrait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Signature</a:t>
            </a:r>
            <a:r>
              <a:rPr lang="en-US" baseline="0"/>
              <a:t> Debit Interchange</a:t>
            </a:r>
            <a:r>
              <a:rPr lang="en-US"/>
              <a:t>
FY2011 Trend</a:t>
            </a:r>
          </a:p>
        </c:rich>
      </c:tx>
      <c:layout>
        <c:manualLayout>
          <c:xMode val="edge"/>
          <c:yMode val="edge"/>
          <c:x val="0.34270414993306558"/>
          <c:y val="3.6629964822861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0"/>
          <c:order val="0"/>
          <c:tx>
            <c:v>Sig Debit Intx</c:v>
          </c:tx>
          <c:spPr>
            <a:ln w="12700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'FY2011'!$A$102:$A$113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'FY2011'!$D$102:$D$113</c:f>
              <c:numCache>
                <c:formatCode>"$"#,##0</c:formatCode>
                <c:ptCount val="12"/>
                <c:pt idx="0">
                  <c:v>1056049</c:v>
                </c:pt>
                <c:pt idx="1">
                  <c:v>975947</c:v>
                </c:pt>
                <c:pt idx="2">
                  <c:v>1063565</c:v>
                </c:pt>
                <c:pt idx="3">
                  <c:v>1026501</c:v>
                </c:pt>
                <c:pt idx="4">
                  <c:v>1093455</c:v>
                </c:pt>
                <c:pt idx="5">
                  <c:v>1283904</c:v>
                </c:pt>
                <c:pt idx="6">
                  <c:v>1197405</c:v>
                </c:pt>
                <c:pt idx="7">
                  <c:v>1210519</c:v>
                </c:pt>
                <c:pt idx="8">
                  <c:v>1259255</c:v>
                </c:pt>
                <c:pt idx="9">
                  <c:v>1309200</c:v>
                </c:pt>
                <c:pt idx="10">
                  <c:v>1252713</c:v>
                </c:pt>
                <c:pt idx="11">
                  <c:v>1169794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92640"/>
        <c:axId val="112994560"/>
      </c:lineChart>
      <c:dateAx>
        <c:axId val="1129926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9945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994560"/>
        <c:scaling>
          <c:orientation val="minMax"/>
          <c:min val="9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0"/>
              <c:y val="0.4908445780377092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992640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676113360323889"/>
          <c:y val="0.88165466084361521"/>
          <c:w val="0.21862348178137975"/>
          <c:h val="7.18089769012899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orientation="portrait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New Set-Ups
FY2011 Trend</a:t>
            </a:r>
          </a:p>
        </c:rich>
      </c:tx>
      <c:layout>
        <c:manualLayout>
          <c:xMode val="edge"/>
          <c:yMode val="edge"/>
          <c:x val="0.3147410358565737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06"/>
          <c:y val="0.30526420389325143"/>
          <c:w val="0.81274979452289753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strRef>
              <c:f>'FY2011'!$B$155</c:f>
              <c:strCache>
                <c:ptCount val="1"/>
                <c:pt idx="0">
                  <c:v>New Account    Set-up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'FY2011'!$A$156:$A$167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'FY2011'!$B$156:$B$167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'FY2011'!$C$155</c:f>
              <c:strCache>
                <c:ptCount val="1"/>
                <c:pt idx="0">
                  <c:v>New Location Only Set-up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'FY2011'!$A$156:$A$167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'FY2011'!$C$156:$C$167</c:f>
              <c:numCache>
                <c:formatCode>General</c:formatCode>
                <c:ptCount val="12"/>
                <c:pt idx="0">
                  <c:v>45</c:v>
                </c:pt>
                <c:pt idx="1">
                  <c:v>46</c:v>
                </c:pt>
                <c:pt idx="2">
                  <c:v>14</c:v>
                </c:pt>
                <c:pt idx="3">
                  <c:v>22</c:v>
                </c:pt>
                <c:pt idx="4">
                  <c:v>24</c:v>
                </c:pt>
                <c:pt idx="5">
                  <c:v>57</c:v>
                </c:pt>
                <c:pt idx="6">
                  <c:v>13</c:v>
                </c:pt>
                <c:pt idx="7">
                  <c:v>54</c:v>
                </c:pt>
                <c:pt idx="8">
                  <c:v>60</c:v>
                </c:pt>
                <c:pt idx="9">
                  <c:v>10</c:v>
                </c:pt>
                <c:pt idx="10">
                  <c:v>15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15808"/>
        <c:axId val="113038464"/>
      </c:lineChart>
      <c:dateAx>
        <c:axId val="1130158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384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03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15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764125407324427"/>
          <c:y val="0.89964840189755768"/>
          <c:w val="0.44437070032802334"/>
          <c:h val="7.792230252656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orientation="landscape" horizontalDpi="-3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
FY2017 Trend</a:t>
            </a:r>
          </a:p>
        </c:rich>
      </c:tx>
      <c:layout>
        <c:manualLayout>
          <c:xMode val="edge"/>
          <c:yMode val="edge"/>
          <c:x val="0.31400000000000383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0000000000012"/>
          <c:y val="0.31970260223049024"/>
          <c:w val="0.81200000000000061"/>
          <c:h val="0.37546468401488498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'FY2015'!$C$59:$C$70</c:f>
              <c:numCache>
                <c:formatCode>"$"#,##0</c:formatCode>
                <c:ptCount val="12"/>
                <c:pt idx="0">
                  <c:v>869212.66999999993</c:v>
                </c:pt>
                <c:pt idx="1">
                  <c:v>838557.96</c:v>
                </c:pt>
                <c:pt idx="2">
                  <c:v>733536.09000000008</c:v>
                </c:pt>
                <c:pt idx="3">
                  <c:v>842567.47000000009</c:v>
                </c:pt>
                <c:pt idx="4">
                  <c:v>776887.67999999982</c:v>
                </c:pt>
                <c:pt idx="5">
                  <c:v>828591.3600000001</c:v>
                </c:pt>
                <c:pt idx="6">
                  <c:v>836564.06</c:v>
                </c:pt>
                <c:pt idx="7">
                  <c:v>884549.76</c:v>
                </c:pt>
                <c:pt idx="8">
                  <c:v>791251.08999999985</c:v>
                </c:pt>
                <c:pt idx="9">
                  <c:v>834128.65999999992</c:v>
                </c:pt>
                <c:pt idx="10">
                  <c:v>837930.91000000015</c:v>
                </c:pt>
                <c:pt idx="11">
                  <c:v>829863.26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'FY2014'!$C$59:$C$70</c:f>
              <c:numCache>
                <c:formatCode>"$"#,##0</c:formatCode>
                <c:ptCount val="12"/>
                <c:pt idx="0">
                  <c:v>722953.34</c:v>
                </c:pt>
                <c:pt idx="1">
                  <c:v>817497.05999999994</c:v>
                </c:pt>
                <c:pt idx="2">
                  <c:v>797029.60999999987</c:v>
                </c:pt>
                <c:pt idx="3">
                  <c:v>805116.75000000012</c:v>
                </c:pt>
                <c:pt idx="4">
                  <c:v>758894.21</c:v>
                </c:pt>
                <c:pt idx="5">
                  <c:v>836154.77000000014</c:v>
                </c:pt>
                <c:pt idx="6">
                  <c:v>824336.32999999984</c:v>
                </c:pt>
                <c:pt idx="7">
                  <c:v>869203.09000000008</c:v>
                </c:pt>
                <c:pt idx="8">
                  <c:v>784302.5900000002</c:v>
                </c:pt>
                <c:pt idx="9">
                  <c:v>809686.24000000022</c:v>
                </c:pt>
                <c:pt idx="10">
                  <c:v>811586.24000000022</c:v>
                </c:pt>
                <c:pt idx="11">
                  <c:v>784412.19000000018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'FY2013'!$C$59:$C$70</c:f>
              <c:numCache>
                <c:formatCode>"$"#,##0</c:formatCode>
                <c:ptCount val="12"/>
                <c:pt idx="0">
                  <c:v>787061.98999999987</c:v>
                </c:pt>
                <c:pt idx="1">
                  <c:v>813583.88000000012</c:v>
                </c:pt>
                <c:pt idx="2">
                  <c:v>802315.87</c:v>
                </c:pt>
                <c:pt idx="3">
                  <c:v>782689.96999999986</c:v>
                </c:pt>
                <c:pt idx="4">
                  <c:v>776752.9</c:v>
                </c:pt>
                <c:pt idx="5">
                  <c:v>869636.29999999993</c:v>
                </c:pt>
                <c:pt idx="6">
                  <c:v>803401.98</c:v>
                </c:pt>
                <c:pt idx="7">
                  <c:v>869059.80999999994</c:v>
                </c:pt>
                <c:pt idx="8">
                  <c:v>806126.21</c:v>
                </c:pt>
                <c:pt idx="9">
                  <c:v>721802.36</c:v>
                </c:pt>
                <c:pt idx="10">
                  <c:v>816320.39000000025</c:v>
                </c:pt>
                <c:pt idx="11">
                  <c:v>777974.19000000018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'FY2012'!$C$67:$C$78</c:f>
              <c:numCache>
                <c:formatCode>"$"#,##0</c:formatCode>
                <c:ptCount val="12"/>
                <c:pt idx="0">
                  <c:v>706513.09999999986</c:v>
                </c:pt>
                <c:pt idx="1">
                  <c:v>719959.22999999986</c:v>
                </c:pt>
                <c:pt idx="2">
                  <c:v>749991.60000000009</c:v>
                </c:pt>
                <c:pt idx="3">
                  <c:v>702725.10000000009</c:v>
                </c:pt>
                <c:pt idx="4">
                  <c:v>722662.79000000027</c:v>
                </c:pt>
                <c:pt idx="5">
                  <c:v>784746.1</c:v>
                </c:pt>
                <c:pt idx="6">
                  <c:v>722652.05999999994</c:v>
                </c:pt>
                <c:pt idx="7">
                  <c:v>786373.25999999989</c:v>
                </c:pt>
                <c:pt idx="8">
                  <c:v>782377.27999999991</c:v>
                </c:pt>
                <c:pt idx="9">
                  <c:v>740166.21000000031</c:v>
                </c:pt>
                <c:pt idx="10">
                  <c:v>818195.74000000022</c:v>
                </c:pt>
                <c:pt idx="11">
                  <c:v>788317.35000000009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'FY2011'!$C$68:$C$79</c:f>
              <c:numCache>
                <c:formatCode>"$"#,##0</c:formatCode>
                <c:ptCount val="12"/>
                <c:pt idx="0">
                  <c:v>869767.96</c:v>
                </c:pt>
                <c:pt idx="1">
                  <c:v>816758.36</c:v>
                </c:pt>
                <c:pt idx="2">
                  <c:v>859992.62</c:v>
                </c:pt>
                <c:pt idx="3">
                  <c:v>816883.41</c:v>
                </c:pt>
                <c:pt idx="4">
                  <c:v>831121</c:v>
                </c:pt>
                <c:pt idx="5">
                  <c:v>946350.06</c:v>
                </c:pt>
                <c:pt idx="6">
                  <c:v>926955</c:v>
                </c:pt>
                <c:pt idx="7">
                  <c:v>884044</c:v>
                </c:pt>
                <c:pt idx="8">
                  <c:v>881759</c:v>
                </c:pt>
                <c:pt idx="9">
                  <c:v>897184</c:v>
                </c:pt>
                <c:pt idx="10">
                  <c:v>898622</c:v>
                </c:pt>
                <c:pt idx="11">
                  <c:v>931889.7</c:v>
                </c:pt>
              </c:numCache>
            </c:numRef>
          </c:val>
          <c:smooth val="0"/>
        </c:ser>
        <c:ser>
          <c:idx val="5"/>
          <c:order val="5"/>
          <c:tx>
            <c:v>PIN Debit 2016</c:v>
          </c:tx>
          <c:val>
            <c:numRef>
              <c:f>'FY2016'!$C$59:$C$70</c:f>
              <c:numCache>
                <c:formatCode>"$"#,##0</c:formatCode>
                <c:ptCount val="12"/>
                <c:pt idx="0">
                  <c:v>902112.95</c:v>
                </c:pt>
                <c:pt idx="1">
                  <c:v>837803.24000000011</c:v>
                </c:pt>
                <c:pt idx="2">
                  <c:v>879627.87999999989</c:v>
                </c:pt>
                <c:pt idx="3">
                  <c:v>854498.0900000002</c:v>
                </c:pt>
                <c:pt idx="4">
                  <c:v>830127.39</c:v>
                </c:pt>
                <c:pt idx="5">
                  <c:v>902530.9</c:v>
                </c:pt>
                <c:pt idx="6">
                  <c:v>863037.65000000014</c:v>
                </c:pt>
                <c:pt idx="7">
                  <c:v>819415.0399999998</c:v>
                </c:pt>
                <c:pt idx="8">
                  <c:v>762195.68</c:v>
                </c:pt>
                <c:pt idx="9">
                  <c:v>763013.16000000015</c:v>
                </c:pt>
                <c:pt idx="10">
                  <c:v>750063.72</c:v>
                </c:pt>
                <c:pt idx="11">
                  <c:v>760972.87999999989</c:v>
                </c:pt>
              </c:numCache>
            </c:numRef>
          </c:val>
          <c:smooth val="0"/>
        </c:ser>
        <c:ser>
          <c:idx val="6"/>
          <c:order val="6"/>
          <c:tx>
            <c:v>PIN Debit 2017</c:v>
          </c:tx>
          <c:val>
            <c:numRef>
              <c:f>'FY2017'!$C$59:$C$70</c:f>
              <c:numCache>
                <c:formatCode>_("$"* #,##0.00_);_("$"* \(#,##0.00\);_("$"* "-"??_);_(@_)</c:formatCode>
                <c:ptCount val="12"/>
                <c:pt idx="0">
                  <c:v>760863.06999999983</c:v>
                </c:pt>
                <c:pt idx="1">
                  <c:v>737547.29999999993</c:v>
                </c:pt>
                <c:pt idx="2">
                  <c:v>790925.67</c:v>
                </c:pt>
                <c:pt idx="3">
                  <c:v>739660.03000000014</c:v>
                </c:pt>
                <c:pt idx="4">
                  <c:v>742156.69000000006</c:v>
                </c:pt>
                <c:pt idx="5">
                  <c:v>830593.04</c:v>
                </c:pt>
                <c:pt idx="6">
                  <c:v>798662.14999999979</c:v>
                </c:pt>
                <c:pt idx="7">
                  <c:v>781282.16</c:v>
                </c:pt>
                <c:pt idx="8">
                  <c:v>772680.54999999981</c:v>
                </c:pt>
                <c:pt idx="9">
                  <c:v>740245.69999999984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4192"/>
        <c:axId val="82905728"/>
      </c:lineChart>
      <c:dateAx>
        <c:axId val="829041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057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905728"/>
        <c:scaling>
          <c:orientation val="minMax"/>
          <c:max val="1000000"/>
          <c:min val="6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04192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9219560242467119E-2"/>
          <c:y val="0.8435577840441828"/>
          <c:w val="0.91621394297889525"/>
          <c:h val="0.15644233150101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Network Fees
FY2011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3036437247167"/>
          <c:y val="0.30106344157989512"/>
          <c:w val="0.8137651821862345"/>
          <c:h val="0.40023728115914958"/>
        </c:manualLayout>
      </c:layout>
      <c:lineChart>
        <c:grouping val="standard"/>
        <c:varyColors val="0"/>
        <c:ser>
          <c:idx val="0"/>
          <c:order val="0"/>
          <c:tx>
            <c:strRef>
              <c:f>'FY2011'!$B$84</c:f>
              <c:strCache>
                <c:ptCount val="1"/>
                <c:pt idx="0">
                  <c:v>Credit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'FY2011'!$A$85:$A$96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'FY2011'!$B$85:$B$96</c:f>
              <c:numCache>
                <c:formatCode>"$"#,##0</c:formatCode>
                <c:ptCount val="12"/>
                <c:pt idx="0">
                  <c:v>650582.87</c:v>
                </c:pt>
                <c:pt idx="1">
                  <c:v>586329.14000000013</c:v>
                </c:pt>
                <c:pt idx="2">
                  <c:v>660166.44999999995</c:v>
                </c:pt>
                <c:pt idx="3">
                  <c:v>585522.64</c:v>
                </c:pt>
                <c:pt idx="4">
                  <c:v>608020.66999999993</c:v>
                </c:pt>
                <c:pt idx="5">
                  <c:v>702297.44</c:v>
                </c:pt>
                <c:pt idx="6">
                  <c:v>693580</c:v>
                </c:pt>
                <c:pt idx="7">
                  <c:v>717799.28</c:v>
                </c:pt>
                <c:pt idx="8">
                  <c:v>751491.67</c:v>
                </c:pt>
                <c:pt idx="9">
                  <c:v>770050.96</c:v>
                </c:pt>
                <c:pt idx="10">
                  <c:v>729298.57000000007</c:v>
                </c:pt>
                <c:pt idx="11">
                  <c:v>700181.32000000007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8352"/>
        <c:axId val="113990272"/>
      </c:lineChart>
      <c:dateAx>
        <c:axId val="1139883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902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990272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8.0321285140562242E-3"/>
              <c:y val="0.24176016459481228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88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093117408906882"/>
          <c:y val="0.89256455621332476"/>
          <c:w val="0.29352226720648483"/>
          <c:h val="7.792230252656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 orientation="portrait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Terminals</a:t>
            </a:r>
            <a:r>
              <a:rPr lang="en-US" baseline="0"/>
              <a:t> on File</a:t>
            </a:r>
            <a:r>
              <a:rPr lang="en-US"/>
              <a:t>
FY2011 Trend</a:t>
            </a:r>
          </a:p>
        </c:rich>
      </c:tx>
      <c:layout>
        <c:manualLayout>
          <c:xMode val="edge"/>
          <c:yMode val="edge"/>
          <c:x val="0.3147410358565737"/>
          <c:y val="3.8596532310784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11"/>
          <c:y val="0.30526420389325165"/>
          <c:w val="0.81274979452289786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strRef>
              <c:f>'FY2011'!$B$172</c:f>
              <c:strCache>
                <c:ptCount val="1"/>
                <c:pt idx="0">
                  <c:v>Active Terminals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'FY2011'!$A$173:$A$184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'FY2011'!$B$173:$B$184</c:f>
              <c:numCache>
                <c:formatCode>#,##0</c:formatCode>
                <c:ptCount val="12"/>
                <c:pt idx="0">
                  <c:v>5829</c:v>
                </c:pt>
                <c:pt idx="1">
                  <c:v>5890</c:v>
                </c:pt>
                <c:pt idx="2">
                  <c:v>5909</c:v>
                </c:pt>
                <c:pt idx="3">
                  <c:v>5961</c:v>
                </c:pt>
                <c:pt idx="4">
                  <c:v>6024</c:v>
                </c:pt>
                <c:pt idx="5">
                  <c:v>6130</c:v>
                </c:pt>
                <c:pt idx="6">
                  <c:v>6169</c:v>
                </c:pt>
                <c:pt idx="7">
                  <c:v>6236</c:v>
                </c:pt>
                <c:pt idx="8">
                  <c:v>6324</c:v>
                </c:pt>
                <c:pt idx="9">
                  <c:v>6360</c:v>
                </c:pt>
                <c:pt idx="10">
                  <c:v>6392</c:v>
                </c:pt>
                <c:pt idx="11">
                  <c:v>6455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4848"/>
        <c:axId val="114037504"/>
      </c:lineChart>
      <c:dateAx>
        <c:axId val="1140148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375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03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14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764125407324427"/>
          <c:y val="0.89962910002536378"/>
          <c:w val="0.44437070032802334"/>
          <c:h val="7.52827698765994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 orientation="landscape" horizontalDpi="-3" verticalDpi="1200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Chargebacks 
FY2011 Trend</a:t>
            </a:r>
          </a:p>
        </c:rich>
      </c:tx>
      <c:layout>
        <c:manualLayout>
          <c:xMode val="edge"/>
          <c:yMode val="edge"/>
          <c:x val="0.3147409973753319"/>
          <c:y val="3.8596532310784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15"/>
          <c:y val="0.30526420389325187"/>
          <c:w val="0.81274979452289831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v>Chargebacks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'FY2011'!$A$192:$A$203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'FY2011'!$D$192:$D$204</c:f>
              <c:numCache>
                <c:formatCode>0.000%</c:formatCode>
                <c:ptCount val="13"/>
                <c:pt idx="0">
                  <c:v>1.6668182511647556E-4</c:v>
                </c:pt>
                <c:pt idx="1">
                  <c:v>1.3219643123358457E-4</c:v>
                </c:pt>
                <c:pt idx="2">
                  <c:v>1.2416271732553868E-4</c:v>
                </c:pt>
                <c:pt idx="3">
                  <c:v>1.1326532420463537E-4</c:v>
                </c:pt>
                <c:pt idx="4">
                  <c:v>1.0444869855289592E-4</c:v>
                </c:pt>
                <c:pt idx="5">
                  <c:v>1.3526780912647524E-4</c:v>
                </c:pt>
                <c:pt idx="6">
                  <c:v>1.2337250423960215E-4</c:v>
                </c:pt>
                <c:pt idx="7">
                  <c:v>1.0634645098525457E-4</c:v>
                </c:pt>
                <c:pt idx="8">
                  <c:v>1.1341538476629074E-4</c:v>
                </c:pt>
                <c:pt idx="9">
                  <c:v>9.8881225391062833E-5</c:v>
                </c:pt>
                <c:pt idx="10">
                  <c:v>1.2891403245224322E-4</c:v>
                </c:pt>
                <c:pt idx="11">
                  <c:v>1.0362123951339337E-4</c:v>
                </c:pt>
                <c:pt idx="12">
                  <c:v>1.2028141107167298E-4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69888"/>
        <c:axId val="114071808"/>
      </c:lineChart>
      <c:dateAx>
        <c:axId val="1140698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718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07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69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262372404499188"/>
          <c:y val="0.89962910002536378"/>
          <c:w val="0.44384812859932105"/>
          <c:h val="7.52827698765994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landscape" horizontalDpi="-3" verticalDpi="1200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Cost Per Transaction
FY2011 Trend</a:t>
            </a:r>
          </a:p>
        </c:rich>
      </c:tx>
      <c:layout>
        <c:manualLayout>
          <c:xMode val="edge"/>
          <c:yMode val="edge"/>
          <c:x val="0.31325301204819223"/>
          <c:y val="3.6630074525356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460536442200781"/>
          <c:w val="0.80971659919028338"/>
          <c:h val="0.39315343547491688"/>
        </c:manualLayout>
      </c:layout>
      <c:lineChart>
        <c:grouping val="standard"/>
        <c:varyColors val="0"/>
        <c:ser>
          <c:idx val="0"/>
          <c:order val="0"/>
          <c:tx>
            <c:v>Credit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'FY2011'!$A$120:$A$128</c:f>
              <c:numCache>
                <c:formatCode>mmm\-yy</c:formatCode>
                <c:ptCount val="9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</c:numCache>
            </c:numRef>
          </c:cat>
          <c:val>
            <c:numRef>
              <c:f>'FY2011'!$B$120:$B$128</c:f>
              <c:numCache>
                <c:formatCode>"$"#,##0.00</c:formatCode>
                <c:ptCount val="9"/>
                <c:pt idx="0">
                  <c:v>2.0912740047499661</c:v>
                </c:pt>
                <c:pt idx="1">
                  <c:v>1.883362553413402</c:v>
                </c:pt>
                <c:pt idx="2">
                  <c:v>2.0423524865351421</c:v>
                </c:pt>
                <c:pt idx="3">
                  <c:v>1.8067210364580983</c:v>
                </c:pt>
                <c:pt idx="4">
                  <c:v>1.7727786871705264</c:v>
                </c:pt>
                <c:pt idx="5">
                  <c:v>1.8015620410346795</c:v>
                </c:pt>
                <c:pt idx="6">
                  <c:v>1.9172412339342038</c:v>
                </c:pt>
                <c:pt idx="7">
                  <c:v>1.9014877820803844</c:v>
                </c:pt>
                <c:pt idx="8">
                  <c:v>1.9587075535259311</c:v>
                </c:pt>
              </c:numCache>
            </c:numRef>
          </c:val>
          <c:smooth val="0"/>
        </c:ser>
        <c:ser>
          <c:idx val="1"/>
          <c:order val="1"/>
          <c:tx>
            <c:v>PIN Debit</c:v>
          </c:tx>
          <c:spPr>
            <a:ln w="12700"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cat>
            <c:numRef>
              <c:f>'FY2011'!$A$120:$A$128</c:f>
              <c:numCache>
                <c:formatCode>mmm\-yy</c:formatCode>
                <c:ptCount val="9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</c:numCache>
            </c:numRef>
          </c:cat>
          <c:val>
            <c:numRef>
              <c:f>'FY2011'!$C$120:$C$128</c:f>
              <c:numCache>
                <c:formatCode>"$"#,##0.00</c:formatCode>
                <c:ptCount val="9"/>
                <c:pt idx="0">
                  <c:v>0.31712407672220611</c:v>
                </c:pt>
                <c:pt idx="1">
                  <c:v>0.31385656699957343</c:v>
                </c:pt>
                <c:pt idx="2">
                  <c:v>0.32205758364113191</c:v>
                </c:pt>
                <c:pt idx="3">
                  <c:v>0.30892388382955405</c:v>
                </c:pt>
                <c:pt idx="4">
                  <c:v>0.33535945420629232</c:v>
                </c:pt>
                <c:pt idx="5">
                  <c:v>0.34372345073842336</c:v>
                </c:pt>
                <c:pt idx="6">
                  <c:v>0.33892408499765814</c:v>
                </c:pt>
                <c:pt idx="7">
                  <c:v>0.32136735731763222</c:v>
                </c:pt>
                <c:pt idx="8">
                  <c:v>0.33433699763700947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52832"/>
        <c:axId val="114959104"/>
      </c:lineChart>
      <c:dateAx>
        <c:axId val="114952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591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95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0709504685408518E-2"/>
              <c:y val="0.4908443013966380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52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473684210526438"/>
          <c:y val="0.89256455621332476"/>
          <c:w val="0.3218623481781378"/>
          <c:h val="6.37546111580957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 orientation="portrait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Ticket
FY2011 Trend</a:t>
            </a:r>
          </a:p>
        </c:rich>
      </c:tx>
      <c:layout>
        <c:manualLayout>
          <c:xMode val="edge"/>
          <c:yMode val="edge"/>
          <c:x val="0.31388329979879792"/>
          <c:y val="3.7453209257933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076923076924"/>
          <c:y val="0.3063380281690179"/>
          <c:w val="0.74291497975708498"/>
          <c:h val="0.38732394366197698"/>
        </c:manualLayout>
      </c:layout>
      <c:lineChart>
        <c:grouping val="standard"/>
        <c:varyColors val="0"/>
        <c:ser>
          <c:idx val="0"/>
          <c:order val="0"/>
          <c:tx>
            <c:v>Credit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'FY2011'!$A$51:$A$62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'FY2011'!$B$51:$B$62</c:f>
              <c:numCache>
                <c:formatCode>"$"#,##0.00</c:formatCode>
                <c:ptCount val="12"/>
                <c:pt idx="0">
                  <c:v>117.94980015050862</c:v>
                </c:pt>
                <c:pt idx="1">
                  <c:v>108.14084366073983</c:v>
                </c:pt>
                <c:pt idx="2">
                  <c:v>116.75032527006751</c:v>
                </c:pt>
                <c:pt idx="3">
                  <c:v>104.64912960165499</c:v>
                </c:pt>
                <c:pt idx="4">
                  <c:v>103.17269576832263</c:v>
                </c:pt>
                <c:pt idx="5">
                  <c:v>103.34002475839274</c:v>
                </c:pt>
                <c:pt idx="6">
                  <c:v>108.58253865644565</c:v>
                </c:pt>
                <c:pt idx="7">
                  <c:v>107.75404068824753</c:v>
                </c:pt>
                <c:pt idx="8">
                  <c:v>109.49560837238501</c:v>
                </c:pt>
                <c:pt idx="9">
                  <c:v>106.39337916436747</c:v>
                </c:pt>
                <c:pt idx="10">
                  <c:v>103.10412311822802</c:v>
                </c:pt>
                <c:pt idx="11">
                  <c:v>107.68393004049138</c:v>
                </c:pt>
              </c:numCache>
            </c:numRef>
          </c:val>
          <c:smooth val="0"/>
        </c:ser>
        <c:ser>
          <c:idx val="1"/>
          <c:order val="1"/>
          <c:tx>
            <c:v>PIN Debit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'FY2011'!$A$51:$A$62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'FY2011'!$C$51:$C$62</c:f>
              <c:numCache>
                <c:formatCode>"$"#,##0.00</c:formatCode>
                <c:ptCount val="12"/>
                <c:pt idx="0">
                  <c:v>74.694063147862266</c:v>
                </c:pt>
                <c:pt idx="1">
                  <c:v>74.700265331452968</c:v>
                </c:pt>
                <c:pt idx="2">
                  <c:v>76.953366410678626</c:v>
                </c:pt>
                <c:pt idx="3">
                  <c:v>75.075288726223746</c:v>
                </c:pt>
                <c:pt idx="4">
                  <c:v>74.848142617174119</c:v>
                </c:pt>
                <c:pt idx="5">
                  <c:v>73.097539944886577</c:v>
                </c:pt>
                <c:pt idx="6">
                  <c:v>74.291772227570604</c:v>
                </c:pt>
                <c:pt idx="7">
                  <c:v>73.889229022099443</c:v>
                </c:pt>
                <c:pt idx="8">
                  <c:v>72.608130704620123</c:v>
                </c:pt>
                <c:pt idx="9">
                  <c:v>74.974760464383408</c:v>
                </c:pt>
                <c:pt idx="10">
                  <c:v>73.221295087386395</c:v>
                </c:pt>
                <c:pt idx="11">
                  <c:v>74.664125337925867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0832"/>
        <c:axId val="115002752"/>
      </c:lineChart>
      <c:dateAx>
        <c:axId val="115000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27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5002752"/>
        <c:scaling>
          <c:orientation val="minMax"/>
          <c:max val="13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69696969735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0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522267206478343"/>
          <c:y val="0.89436619718309851"/>
          <c:w val="0.29352226720648483"/>
          <c:h val="7.74647887323943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 orientation="portrait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FY2011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12"/>
          <c:w val="0.81174089068826794"/>
          <c:h val="0.40023728115914958"/>
        </c:manualLayout>
      </c:layout>
      <c:lineChart>
        <c:grouping val="standard"/>
        <c:varyColors val="0"/>
        <c:ser>
          <c:idx val="0"/>
          <c:order val="0"/>
          <c:tx>
            <c:v>Credit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'FY2011'!$A$137:$A$148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'FY2011'!$B$137:$B$148</c:f>
              <c:numCache>
                <c:formatCode>"$"#,##0.000</c:formatCode>
                <c:ptCount val="12"/>
                <c:pt idx="0">
                  <c:v>0.119296303807607</c:v>
                </c:pt>
                <c:pt idx="1">
                  <c:v>0.11249727117018403</c:v>
                </c:pt>
                <c:pt idx="2">
                  <c:v>0.11966140192577281</c:v>
                </c:pt>
                <c:pt idx="3">
                  <c:v>0.10696679298186129</c:v>
                </c:pt>
                <c:pt idx="4">
                  <c:v>0.11025515221312465</c:v>
                </c:pt>
                <c:pt idx="5">
                  <c:v>0.10995166211103263</c:v>
                </c:pt>
                <c:pt idx="6">
                  <c:v>0.11333602846424273</c:v>
                </c:pt>
                <c:pt idx="7">
                  <c:v>0.11410374581131692</c:v>
                </c:pt>
                <c:pt idx="8">
                  <c:v>0.1151766444617735</c:v>
                </c:pt>
                <c:pt idx="9">
                  <c:v>0.11247205692520577</c:v>
                </c:pt>
                <c:pt idx="10">
                  <c:v>0.11099978691895464</c:v>
                </c:pt>
                <c:pt idx="11">
                  <c:v>0.11301192564256064</c:v>
                </c:pt>
              </c:numCache>
            </c:numRef>
          </c:val>
          <c:smooth val="0"/>
        </c:ser>
        <c:ser>
          <c:idx val="1"/>
          <c:order val="1"/>
          <c:tx>
            <c:v>PIN debit</c:v>
          </c:tx>
          <c:spPr>
            <a:ln w="12700"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cat>
            <c:numRef>
              <c:f>'FY2011'!$A$137:$A$148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'FY2011'!$C$137:$C$148</c:f>
              <c:numCache>
                <c:formatCode>"$"#,##0.00</c:formatCode>
                <c:ptCount val="12"/>
                <c:pt idx="4" formatCode="&quot;$&quot;#,##0.000">
                  <c:v>3.7642588727187475E-2</c:v>
                </c:pt>
                <c:pt idx="5" formatCode="&quot;$&quot;#,##0.000">
                  <c:v>3.8351881843550345E-2</c:v>
                </c:pt>
                <c:pt idx="6" formatCode="&quot;$&quot;#,##0.000">
                  <c:v>3.6900960989662487E-2</c:v>
                </c:pt>
                <c:pt idx="7" formatCode="&quot;$&quot;#,##0.000">
                  <c:v>3.5017458030748683E-2</c:v>
                </c:pt>
                <c:pt idx="8" formatCode="&quot;$&quot;#,##0.000">
                  <c:v>3.6444893635092387E-2</c:v>
                </c:pt>
                <c:pt idx="9" formatCode="&quot;$&quot;#,##0.000">
                  <c:v>3.6197418252775476E-2</c:v>
                </c:pt>
                <c:pt idx="10" formatCode="&quot;$&quot;#,##0.000">
                  <c:v>3.6242875435007108E-2</c:v>
                </c:pt>
                <c:pt idx="11" formatCode="&quot;$&quot;#,##0.000">
                  <c:v>3.9573241657216082E-2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44736"/>
        <c:axId val="115046656"/>
      </c:lineChart>
      <c:dateAx>
        <c:axId val="1150447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466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5046656"/>
        <c:scaling>
          <c:orientation val="minMax"/>
          <c:max val="0.15000000000000024"/>
          <c:min val="3.000000000000000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0709504685408518E-2"/>
              <c:y val="0.49084441367906689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44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71255060728782"/>
          <c:y val="0.89256455621332476"/>
          <c:w val="0.3218623481781378"/>
          <c:h val="6.37546111580957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portrait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Sales Dollars
FY2010 Trend</a:t>
            </a:r>
          </a:p>
        </c:rich>
      </c:tx>
      <c:layout>
        <c:manualLayout>
          <c:xMode val="edge"/>
          <c:yMode val="edge"/>
          <c:x val="0.31400000000000339"/>
          <c:y val="4.23728813559332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0000000000041"/>
          <c:y val="0.32089610704311089"/>
          <c:w val="0.72200000000000064"/>
          <c:h val="0.37313500818966261"/>
        </c:manualLayout>
      </c:layout>
      <c:lineChart>
        <c:grouping val="standard"/>
        <c:varyColors val="0"/>
        <c:ser>
          <c:idx val="0"/>
          <c:order val="0"/>
          <c:tx>
            <c:strRef>
              <c:f>'FY2010'!$B$7</c:f>
              <c:strCache>
                <c:ptCount val="1"/>
                <c:pt idx="0">
                  <c:v>Credit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'FY2010'!$A$8:$A$19</c:f>
              <c:numCache>
                <c:formatCode>mmm\-yy</c:formatCode>
                <c:ptCount val="12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</c:numCache>
            </c:numRef>
          </c:cat>
          <c:val>
            <c:numRef>
              <c:f>'FY2010'!$B$8:$B$19</c:f>
              <c:numCache>
                <c:formatCode>_("$"* #,##0_);_("$"* \(#,##0\);_("$"* "-"_);_(@_)</c:formatCode>
                <c:ptCount val="12"/>
                <c:pt idx="0">
                  <c:v>585093578.72999907</c:v>
                </c:pt>
                <c:pt idx="1">
                  <c:v>518603592.23000002</c:v>
                </c:pt>
                <c:pt idx="2">
                  <c:v>572176831</c:v>
                </c:pt>
                <c:pt idx="3">
                  <c:v>514835565</c:v>
                </c:pt>
                <c:pt idx="4">
                  <c:v>479370132</c:v>
                </c:pt>
                <c:pt idx="5">
                  <c:v>557973584</c:v>
                </c:pt>
                <c:pt idx="6">
                  <c:v>541723638</c:v>
                </c:pt>
                <c:pt idx="7">
                  <c:v>569876104.14999998</c:v>
                </c:pt>
                <c:pt idx="8">
                  <c:v>576633543</c:v>
                </c:pt>
                <c:pt idx="9">
                  <c:v>636796921</c:v>
                </c:pt>
                <c:pt idx="10">
                  <c:v>630696995</c:v>
                </c:pt>
                <c:pt idx="11">
                  <c:v>607499451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'FY2010'!$C$7</c:f>
              <c:strCache>
                <c:ptCount val="1"/>
                <c:pt idx="0">
                  <c:v>PIN Debit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'FY2010'!$A$8:$A$19</c:f>
              <c:numCache>
                <c:formatCode>mmm\-yy</c:formatCode>
                <c:ptCount val="12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</c:numCache>
            </c:numRef>
          </c:cat>
          <c:val>
            <c:numRef>
              <c:f>'FY2010'!$C$8:$C$19</c:f>
              <c:numCache>
                <c:formatCode>_("$"* #,##0_);_("$"* \(#,##0\);_("$"* "-"_);_(@_)</c:formatCode>
                <c:ptCount val="12"/>
                <c:pt idx="0">
                  <c:v>196158766.96999985</c:v>
                </c:pt>
                <c:pt idx="1">
                  <c:v>192287111.02000001</c:v>
                </c:pt>
                <c:pt idx="2">
                  <c:v>195269013</c:v>
                </c:pt>
                <c:pt idx="3">
                  <c:v>199614052</c:v>
                </c:pt>
                <c:pt idx="4">
                  <c:v>185216561</c:v>
                </c:pt>
                <c:pt idx="5">
                  <c:v>195845326</c:v>
                </c:pt>
                <c:pt idx="6">
                  <c:v>192040614</c:v>
                </c:pt>
                <c:pt idx="7">
                  <c:v>207587583.47999999</c:v>
                </c:pt>
                <c:pt idx="8">
                  <c:v>175831800</c:v>
                </c:pt>
                <c:pt idx="9">
                  <c:v>192623287</c:v>
                </c:pt>
                <c:pt idx="10">
                  <c:v>191608491</c:v>
                </c:pt>
                <c:pt idx="11">
                  <c:v>193582438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00640"/>
        <c:axId val="114402816"/>
      </c:lineChart>
      <c:dateAx>
        <c:axId val="1144006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02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40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3.2000000000000042E-2"/>
              <c:y val="0.488806886427335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00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000000000000038"/>
          <c:y val="0.88983050847458389"/>
          <c:w val="0.29000000000000031"/>
          <c:h val="8.47457627118657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Number of Transactions
FY2010 Trend</a:t>
            </a:r>
          </a:p>
        </c:rich>
      </c:tx>
      <c:layout>
        <c:manualLayout>
          <c:xMode val="edge"/>
          <c:yMode val="edge"/>
          <c:x val="0.31388329979879792"/>
          <c:y val="4.2735042735042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25"/>
          <c:w val="0.74446680080482897"/>
          <c:h val="0.37078787302447708"/>
        </c:manualLayout>
      </c:layout>
      <c:lineChart>
        <c:grouping val="standard"/>
        <c:varyColors val="0"/>
        <c:ser>
          <c:idx val="0"/>
          <c:order val="0"/>
          <c:tx>
            <c:strRef>
              <c:f>'FY2010'!$B$23</c:f>
              <c:strCache>
                <c:ptCount val="1"/>
                <c:pt idx="0">
                  <c:v>Credit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'FY2010'!$A$24:$A$35</c:f>
              <c:numCache>
                <c:formatCode>mmm\-yy</c:formatCode>
                <c:ptCount val="12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</c:numCache>
            </c:numRef>
          </c:cat>
          <c:val>
            <c:numRef>
              <c:f>'FY2010'!$B$24:$B$35</c:f>
              <c:numCache>
                <c:formatCode>[Black]#,##0;[Black]\-#,##0</c:formatCode>
                <c:ptCount val="12"/>
                <c:pt idx="0">
                  <c:v>4593379</c:v>
                </c:pt>
                <c:pt idx="1">
                  <c:v>4050181</c:v>
                </c:pt>
                <c:pt idx="2">
                  <c:v>4444422</c:v>
                </c:pt>
                <c:pt idx="3">
                  <c:v>4168735</c:v>
                </c:pt>
                <c:pt idx="4">
                  <c:v>4051851</c:v>
                </c:pt>
                <c:pt idx="5">
                  <c:v>4597656</c:v>
                </c:pt>
                <c:pt idx="6">
                  <c:v>4568187</c:v>
                </c:pt>
                <c:pt idx="7">
                  <c:v>4804397</c:v>
                </c:pt>
                <c:pt idx="8">
                  <c:v>4744425</c:v>
                </c:pt>
                <c:pt idx="9">
                  <c:v>5212257</c:v>
                </c:pt>
                <c:pt idx="10">
                  <c:v>4980833</c:v>
                </c:pt>
                <c:pt idx="11">
                  <c:v>5293068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'FY2010'!$C$23</c:f>
              <c:strCache>
                <c:ptCount val="1"/>
                <c:pt idx="0">
                  <c:v>PIN Debit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'FY2010'!$A$24:$A$35</c:f>
              <c:numCache>
                <c:formatCode>mmm\-yy</c:formatCode>
                <c:ptCount val="12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</c:numCache>
            </c:numRef>
          </c:cat>
          <c:val>
            <c:numRef>
              <c:f>'FY2010'!$C$24:$C$35</c:f>
              <c:numCache>
                <c:formatCode>[Black]#,##0;[Black]\-#,##0</c:formatCode>
                <c:ptCount val="12"/>
                <c:pt idx="0">
                  <c:v>2563287</c:v>
                </c:pt>
                <c:pt idx="1">
                  <c:v>2480999</c:v>
                </c:pt>
                <c:pt idx="2">
                  <c:v>2499979</c:v>
                </c:pt>
                <c:pt idx="3">
                  <c:v>2547145</c:v>
                </c:pt>
                <c:pt idx="4">
                  <c:v>2380333</c:v>
                </c:pt>
                <c:pt idx="5">
                  <c:v>2610450</c:v>
                </c:pt>
                <c:pt idx="6">
                  <c:v>2590453</c:v>
                </c:pt>
                <c:pt idx="7">
                  <c:v>2743151</c:v>
                </c:pt>
                <c:pt idx="8">
                  <c:v>2448500</c:v>
                </c:pt>
                <c:pt idx="9">
                  <c:v>2590071</c:v>
                </c:pt>
                <c:pt idx="10">
                  <c:v>2594821</c:v>
                </c:pt>
                <c:pt idx="11">
                  <c:v>2629333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87616"/>
        <c:axId val="115122560"/>
      </c:lineChart>
      <c:dateAx>
        <c:axId val="1150876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225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512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721605311771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#,##0;[Black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87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649899396378803"/>
          <c:y val="0.88888888888888884"/>
          <c:w val="0.2917505030181089"/>
          <c:h val="8.54700854700856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 orientation="portrait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
FY2010 Trend</a:t>
            </a:r>
          </a:p>
        </c:rich>
      </c:tx>
      <c:layout>
        <c:manualLayout>
          <c:xMode val="edge"/>
          <c:yMode val="edge"/>
          <c:x val="0.31400000000000339"/>
          <c:y val="4.23728813559332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0000000000012"/>
          <c:y val="0.31970260223048985"/>
          <c:w val="0.81200000000000061"/>
          <c:h val="0.37546468401488409"/>
        </c:manualLayout>
      </c:layout>
      <c:lineChart>
        <c:grouping val="standard"/>
        <c:varyColors val="0"/>
        <c:ser>
          <c:idx val="0"/>
          <c:order val="0"/>
          <c:tx>
            <c:strRef>
              <c:f>'FY2010'!$B$58</c:f>
              <c:strCache>
                <c:ptCount val="1"/>
                <c:pt idx="0">
                  <c:v>Credit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'FY2010'!$A$59:$A$70</c:f>
              <c:numCache>
                <c:formatCode>mmm\-yy</c:formatCode>
                <c:ptCount val="12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</c:numCache>
            </c:numRef>
          </c:cat>
          <c:val>
            <c:numRef>
              <c:f>'FY2010'!$B$59:$B$70</c:f>
              <c:numCache>
                <c:formatCode>"$"#,##0</c:formatCode>
                <c:ptCount val="12"/>
                <c:pt idx="0">
                  <c:v>9724597.44000002</c:v>
                </c:pt>
                <c:pt idx="1">
                  <c:v>8574216.870000001</c:v>
                </c:pt>
                <c:pt idx="2">
                  <c:v>9504166</c:v>
                </c:pt>
                <c:pt idx="3">
                  <c:v>8432397.1600000001</c:v>
                </c:pt>
                <c:pt idx="4">
                  <c:v>7846104</c:v>
                </c:pt>
                <c:pt idx="5">
                  <c:v>9181956</c:v>
                </c:pt>
                <c:pt idx="6">
                  <c:v>9056391</c:v>
                </c:pt>
                <c:pt idx="7">
                  <c:v>9472221.6099999994</c:v>
                </c:pt>
                <c:pt idx="8">
                  <c:v>9876748</c:v>
                </c:pt>
                <c:pt idx="9">
                  <c:v>10673624</c:v>
                </c:pt>
                <c:pt idx="10">
                  <c:v>10583490</c:v>
                </c:pt>
                <c:pt idx="11">
                  <c:v>10173951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'FY2010'!$C$58</c:f>
              <c:strCache>
                <c:ptCount val="1"/>
                <c:pt idx="0">
                  <c:v>PIN Debit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'FY2010'!$A$59:$A$70</c:f>
              <c:numCache>
                <c:formatCode>mmm\-yy</c:formatCode>
                <c:ptCount val="12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</c:numCache>
            </c:numRef>
          </c:cat>
          <c:val>
            <c:numRef>
              <c:f>'FY2010'!$C$59:$C$70</c:f>
              <c:numCache>
                <c:formatCode>"$"#,##0</c:formatCode>
                <c:ptCount val="12"/>
                <c:pt idx="0">
                  <c:v>659395.32999999996</c:v>
                </c:pt>
                <c:pt idx="1">
                  <c:v>609210.91</c:v>
                </c:pt>
                <c:pt idx="2">
                  <c:v>660077.4</c:v>
                </c:pt>
                <c:pt idx="3">
                  <c:v>636625.67999999993</c:v>
                </c:pt>
                <c:pt idx="4">
                  <c:v>607213.02</c:v>
                </c:pt>
                <c:pt idx="5">
                  <c:v>666545.03</c:v>
                </c:pt>
                <c:pt idx="6">
                  <c:v>729948</c:v>
                </c:pt>
                <c:pt idx="7">
                  <c:v>823946.18</c:v>
                </c:pt>
                <c:pt idx="8">
                  <c:v>770250</c:v>
                </c:pt>
                <c:pt idx="9">
                  <c:v>821883</c:v>
                </c:pt>
                <c:pt idx="10">
                  <c:v>803648</c:v>
                </c:pt>
                <c:pt idx="11">
                  <c:v>827340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00736"/>
        <c:axId val="114502656"/>
      </c:lineChart>
      <c:dateAx>
        <c:axId val="1145007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026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50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3.2000000000000042E-2"/>
              <c:y val="0.4869887450509424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00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400000000000384"/>
          <c:y val="0.88983050847458389"/>
          <c:w val="0.29000000000000031"/>
          <c:h val="8.47457627118657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 orientation="portrait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Cost Per Transaction
FY2010 Trend</a:t>
            </a:r>
          </a:p>
        </c:rich>
      </c:tx>
      <c:layout>
        <c:manualLayout>
          <c:xMode val="edge"/>
          <c:yMode val="edge"/>
          <c:x val="0.31325301204819223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0"/>
          <c:order val="0"/>
          <c:tx>
            <c:strRef>
              <c:f>'FY2010'!$B$91</c:f>
              <c:strCache>
                <c:ptCount val="1"/>
                <c:pt idx="0">
                  <c:v>Credit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'FY2010'!$A$92:$A$103</c:f>
              <c:numCache>
                <c:formatCode>mmm\-yy</c:formatCode>
                <c:ptCount val="12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</c:numCache>
            </c:numRef>
          </c:cat>
          <c:val>
            <c:numRef>
              <c:f>'FY2010'!$B$92:$B$103</c:f>
              <c:numCache>
                <c:formatCode>"$"#,##0.00</c:formatCode>
                <c:ptCount val="12"/>
                <c:pt idx="0">
                  <c:v>2.2277164588421772</c:v>
                </c:pt>
                <c:pt idx="1">
                  <c:v>2.229727570199949</c:v>
                </c:pt>
                <c:pt idx="2">
                  <c:v>2.2511840212293071</c:v>
                </c:pt>
                <c:pt idx="3">
                  <c:v>2.138682917000001</c:v>
                </c:pt>
                <c:pt idx="4">
                  <c:v>2.0444261301809963</c:v>
                </c:pt>
                <c:pt idx="5">
                  <c:v>2.1065107654857171</c:v>
                </c:pt>
                <c:pt idx="6">
                  <c:v>2.0949837999188738</c:v>
                </c:pt>
                <c:pt idx="7">
                  <c:v>2.0843658423731428</c:v>
                </c:pt>
                <c:pt idx="8">
                  <c:v>2.1958687259256919</c:v>
                </c:pt>
                <c:pt idx="9">
                  <c:v>2.1727810908019309</c:v>
                </c:pt>
                <c:pt idx="10">
                  <c:v>2.2549987542244443</c:v>
                </c:pt>
                <c:pt idx="11">
                  <c:v>2.0406932954573791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'FY2010'!$C$91</c:f>
              <c:strCache>
                <c:ptCount val="1"/>
                <c:pt idx="0">
                  <c:v>PIN Debit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'FY2010'!$A$92:$A$103</c:f>
              <c:numCache>
                <c:formatCode>mmm\-yy</c:formatCode>
                <c:ptCount val="12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</c:numCache>
            </c:numRef>
          </c:cat>
          <c:val>
            <c:numRef>
              <c:f>'FY2010'!$C$92:$C$103</c:f>
              <c:numCache>
                <c:formatCode>"$"#,##0.00</c:formatCode>
                <c:ptCount val="12"/>
                <c:pt idx="0">
                  <c:v>0.25724600093551753</c:v>
                </c:pt>
                <c:pt idx="1">
                  <c:v>0.24555064713851155</c:v>
                </c:pt>
                <c:pt idx="2">
                  <c:v>0.26403317787869418</c:v>
                </c:pt>
                <c:pt idx="3">
                  <c:v>0.24993696079335881</c:v>
                </c:pt>
                <c:pt idx="4">
                  <c:v>0.25509582902896361</c:v>
                </c:pt>
                <c:pt idx="5">
                  <c:v>0.25533721389032543</c:v>
                </c:pt>
                <c:pt idx="6">
                  <c:v>0.28178391964648652</c:v>
                </c:pt>
                <c:pt idx="7">
                  <c:v>0.30036486507669469</c:v>
                </c:pt>
                <c:pt idx="8">
                  <c:v>0.31458035531958339</c:v>
                </c:pt>
                <c:pt idx="9">
                  <c:v>0.31732064487807476</c:v>
                </c:pt>
                <c:pt idx="10">
                  <c:v>0.30971230770831593</c:v>
                </c:pt>
                <c:pt idx="11">
                  <c:v>0.31465774780143863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61024"/>
        <c:axId val="114562944"/>
      </c:lineChart>
      <c:dateAx>
        <c:axId val="114561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629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56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3.2128514056224897E-2"/>
              <c:y val="0.4908441424075103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61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353413654618473"/>
          <c:y val="0.89211618257260406"/>
          <c:w val="0.29116465863453833"/>
          <c:h val="8.2987551867220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Network Fees
FY2017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3036437247195"/>
          <c:y val="0.30106344157989562"/>
          <c:w val="0.8137651821862345"/>
          <c:h val="0.40023728115914958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'FY2015'!$C$76:$C$87</c:f>
              <c:numCache>
                <c:formatCode>"$"#,##0</c:formatCode>
                <c:ptCount val="12"/>
                <c:pt idx="0">
                  <c:v>101643.51000000013</c:v>
                </c:pt>
                <c:pt idx="1">
                  <c:v>97297.95000000007</c:v>
                </c:pt>
                <c:pt idx="2">
                  <c:v>81687.759999999966</c:v>
                </c:pt>
                <c:pt idx="3">
                  <c:v>95481.449999999924</c:v>
                </c:pt>
                <c:pt idx="4">
                  <c:v>78345.440000000206</c:v>
                </c:pt>
                <c:pt idx="5">
                  <c:v>89051.029999999912</c:v>
                </c:pt>
                <c:pt idx="6">
                  <c:v>88478.729999999967</c:v>
                </c:pt>
                <c:pt idx="7">
                  <c:v>91860.04999999993</c:v>
                </c:pt>
                <c:pt idx="8">
                  <c:v>85621.380000000179</c:v>
                </c:pt>
                <c:pt idx="9">
                  <c:v>92173.940000000061</c:v>
                </c:pt>
                <c:pt idx="10">
                  <c:v>86233.729999999865</c:v>
                </c:pt>
                <c:pt idx="11">
                  <c:v>90527.200000000026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22225">
              <a:solidFill>
                <a:srgbClr val="FF33CC"/>
              </a:solidFill>
            </a:ln>
          </c:spPr>
          <c:marker>
            <c:spPr>
              <a:ln>
                <a:solidFill>
                  <a:srgbClr val="FF33CC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'FY2014'!$C$76:$C$87</c:f>
              <c:numCache>
                <c:formatCode>"$"#,##0</c:formatCode>
                <c:ptCount val="12"/>
                <c:pt idx="0">
                  <c:v>83648.260000000009</c:v>
                </c:pt>
                <c:pt idx="1">
                  <c:v>126958.59000000008</c:v>
                </c:pt>
                <c:pt idx="2">
                  <c:v>94101.420000000158</c:v>
                </c:pt>
                <c:pt idx="3">
                  <c:v>95203.909999999916</c:v>
                </c:pt>
                <c:pt idx="4">
                  <c:v>100924.81000000006</c:v>
                </c:pt>
                <c:pt idx="5">
                  <c:v>99437.919999999809</c:v>
                </c:pt>
                <c:pt idx="6">
                  <c:v>99964.14000000013</c:v>
                </c:pt>
                <c:pt idx="7">
                  <c:v>103713.11999999988</c:v>
                </c:pt>
                <c:pt idx="8">
                  <c:v>95993.869999999763</c:v>
                </c:pt>
                <c:pt idx="9">
                  <c:v>99056.359999999753</c:v>
                </c:pt>
                <c:pt idx="10">
                  <c:v>97156.359999999753</c:v>
                </c:pt>
                <c:pt idx="11">
                  <c:v>96389.009999999776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'FY2013'!$C$76:$C$87</c:f>
              <c:numCache>
                <c:formatCode>"$"#,##0</c:formatCode>
                <c:ptCount val="12"/>
                <c:pt idx="0">
                  <c:v>107887.13000000012</c:v>
                </c:pt>
                <c:pt idx="1">
                  <c:v>109647.12999999989</c:v>
                </c:pt>
                <c:pt idx="2">
                  <c:v>108453.56000000006</c:v>
                </c:pt>
                <c:pt idx="3">
                  <c:v>106211.25000000012</c:v>
                </c:pt>
                <c:pt idx="4">
                  <c:v>106347.09999999998</c:v>
                </c:pt>
                <c:pt idx="5">
                  <c:v>117957.71000000008</c:v>
                </c:pt>
                <c:pt idx="6">
                  <c:v>102334.17000000004</c:v>
                </c:pt>
                <c:pt idx="7">
                  <c:v>110128.24000000011</c:v>
                </c:pt>
                <c:pt idx="8">
                  <c:v>97525.160000000033</c:v>
                </c:pt>
                <c:pt idx="9">
                  <c:v>87198.680000000051</c:v>
                </c:pt>
                <c:pt idx="10">
                  <c:v>114822.63999999978</c:v>
                </c:pt>
                <c:pt idx="11">
                  <c:v>89845.10999999987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'FY2012'!$C$84:$C$95</c:f>
              <c:numCache>
                <c:formatCode>"$"#,##0</c:formatCode>
                <c:ptCount val="12"/>
                <c:pt idx="0">
                  <c:v>99860.660000000149</c:v>
                </c:pt>
                <c:pt idx="1">
                  <c:v>101172.3600000001</c:v>
                </c:pt>
                <c:pt idx="2">
                  <c:v>104629.99999999988</c:v>
                </c:pt>
                <c:pt idx="3">
                  <c:v>100285.11999999988</c:v>
                </c:pt>
                <c:pt idx="4">
                  <c:v>100876.40999999968</c:v>
                </c:pt>
                <c:pt idx="5">
                  <c:v>109579.30000000005</c:v>
                </c:pt>
                <c:pt idx="6">
                  <c:v>103051.09000000008</c:v>
                </c:pt>
                <c:pt idx="7">
                  <c:v>108115.3600000001</c:v>
                </c:pt>
                <c:pt idx="8">
                  <c:v>105811.02000000014</c:v>
                </c:pt>
                <c:pt idx="9">
                  <c:v>99893.659999999683</c:v>
                </c:pt>
                <c:pt idx="10">
                  <c:v>110094.7899999998</c:v>
                </c:pt>
                <c:pt idx="11">
                  <c:v>104855.79999999993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'FY2011'!$C$85:$C$96</c:f>
              <c:numCache>
                <c:formatCode>"$"#,##0</c:formatCode>
                <c:ptCount val="12"/>
                <c:pt idx="4">
                  <c:v>93289.59</c:v>
                </c:pt>
                <c:pt idx="5">
                  <c:v>105591.58999999997</c:v>
                </c:pt>
                <c:pt idx="6">
                  <c:v>100923.86999999997</c:v>
                </c:pt>
                <c:pt idx="7">
                  <c:v>96328.930000000022</c:v>
                </c:pt>
                <c:pt idx="8">
                  <c:v>96117.430000000022</c:v>
                </c:pt>
                <c:pt idx="9">
                  <c:v>97518.270000000077</c:v>
                </c:pt>
                <c:pt idx="10">
                  <c:v>97906.25000000016</c:v>
                </c:pt>
                <c:pt idx="11">
                  <c:v>108733.17999999982</c:v>
                </c:pt>
              </c:numCache>
            </c:numRef>
          </c:val>
          <c:smooth val="0"/>
        </c:ser>
        <c:ser>
          <c:idx val="5"/>
          <c:order val="5"/>
          <c:tx>
            <c:v>PIN Debit 2016</c:v>
          </c:tx>
          <c:val>
            <c:numRef>
              <c:f>'FY2016'!$C$76:$C$87</c:f>
              <c:numCache>
                <c:formatCode>"$"#,##0</c:formatCode>
                <c:ptCount val="12"/>
                <c:pt idx="0">
                  <c:v>91426.409999999945</c:v>
                </c:pt>
                <c:pt idx="1">
                  <c:v>84650.3299999999</c:v>
                </c:pt>
                <c:pt idx="2">
                  <c:v>90372.570000000051</c:v>
                </c:pt>
                <c:pt idx="3">
                  <c:v>85933.449999999764</c:v>
                </c:pt>
                <c:pt idx="4">
                  <c:v>85498.51999999996</c:v>
                </c:pt>
                <c:pt idx="5">
                  <c:v>90496.089999999924</c:v>
                </c:pt>
                <c:pt idx="6">
                  <c:v>91183.22999999985</c:v>
                </c:pt>
                <c:pt idx="7">
                  <c:v>84538.36000000019</c:v>
                </c:pt>
                <c:pt idx="8">
                  <c:v>83208.699999999953</c:v>
                </c:pt>
                <c:pt idx="9">
                  <c:v>78998.989999999903</c:v>
                </c:pt>
                <c:pt idx="10">
                  <c:v>78242.670000000013</c:v>
                </c:pt>
                <c:pt idx="11">
                  <c:v>85601.200000000157</c:v>
                </c:pt>
              </c:numCache>
            </c:numRef>
          </c:val>
          <c:smooth val="0"/>
        </c:ser>
        <c:ser>
          <c:idx val="6"/>
          <c:order val="6"/>
          <c:tx>
            <c:v>PIN Debit 2017</c:v>
          </c:tx>
          <c:val>
            <c:numRef>
              <c:f>'FY2017'!$C$76:$C$87</c:f>
              <c:numCache>
                <c:formatCode>_("$"* #,##0.00_);_("$"* \(#,##0.00\);_("$"* "-"??_);_(@_)</c:formatCode>
                <c:ptCount val="12"/>
                <c:pt idx="0">
                  <c:v>73060.740000000122</c:v>
                </c:pt>
                <c:pt idx="1">
                  <c:v>95448.04000000011</c:v>
                </c:pt>
                <c:pt idx="2">
                  <c:v>77928.160000000003</c:v>
                </c:pt>
                <c:pt idx="3">
                  <c:v>67922.609999999899</c:v>
                </c:pt>
                <c:pt idx="4">
                  <c:v>67530.319999999891</c:v>
                </c:pt>
                <c:pt idx="5">
                  <c:v>81315.989999999903</c:v>
                </c:pt>
                <c:pt idx="6">
                  <c:v>76327.960000000225</c:v>
                </c:pt>
                <c:pt idx="7">
                  <c:v>73247.53</c:v>
                </c:pt>
                <c:pt idx="8">
                  <c:v>75771.730000000214</c:v>
                </c:pt>
                <c:pt idx="9">
                  <c:v>69494.040000000095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55648"/>
        <c:axId val="82957440"/>
      </c:lineChart>
      <c:dateAx>
        <c:axId val="829556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574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957440"/>
        <c:scaling>
          <c:orientation val="minMax"/>
          <c:min val="6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55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082886669289502E-2"/>
          <c:y val="0.84349251968503935"/>
          <c:w val="0.93011965080451897"/>
          <c:h val="0.15650743657042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New Set-Ups
FY2010 Trend</a:t>
            </a:r>
          </a:p>
        </c:rich>
      </c:tx>
      <c:layout>
        <c:manualLayout>
          <c:xMode val="edge"/>
          <c:yMode val="edge"/>
          <c:x val="0.3147410358565737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11"/>
          <c:y val="0.30526420389325165"/>
          <c:w val="0.81274979452289786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strRef>
              <c:f>'FY2010'!$B$126</c:f>
              <c:strCache>
                <c:ptCount val="1"/>
                <c:pt idx="0">
                  <c:v>New Account    Set-up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'FY2010'!$A$127:$A$138</c:f>
              <c:numCache>
                <c:formatCode>mmm\-yy</c:formatCode>
                <c:ptCount val="12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</c:numCache>
            </c:numRef>
          </c:cat>
          <c:val>
            <c:numRef>
              <c:f>'FY2010'!$B$127:$B$138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'FY2010'!$C$126</c:f>
              <c:strCache>
                <c:ptCount val="1"/>
                <c:pt idx="0">
                  <c:v>New Location Only Set-up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'FY2010'!$A$127:$A$138</c:f>
              <c:numCache>
                <c:formatCode>mmm\-yy</c:formatCode>
                <c:ptCount val="12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</c:numCache>
            </c:numRef>
          </c:cat>
          <c:val>
            <c:numRef>
              <c:f>'FY2010'!$C$127:$C$138</c:f>
              <c:numCache>
                <c:formatCode>General</c:formatCode>
                <c:ptCount val="12"/>
                <c:pt idx="0">
                  <c:v>1</c:v>
                </c:pt>
                <c:pt idx="1">
                  <c:v>37</c:v>
                </c:pt>
                <c:pt idx="2">
                  <c:v>21</c:v>
                </c:pt>
                <c:pt idx="3">
                  <c:v>5</c:v>
                </c:pt>
                <c:pt idx="4">
                  <c:v>49</c:v>
                </c:pt>
                <c:pt idx="5">
                  <c:v>36</c:v>
                </c:pt>
                <c:pt idx="6">
                  <c:v>92</c:v>
                </c:pt>
                <c:pt idx="7">
                  <c:v>31</c:v>
                </c:pt>
                <c:pt idx="8">
                  <c:v>11</c:v>
                </c:pt>
                <c:pt idx="9">
                  <c:v>5</c:v>
                </c:pt>
                <c:pt idx="10">
                  <c:v>50</c:v>
                </c:pt>
                <c:pt idx="11">
                  <c:v>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84192"/>
        <c:axId val="114602752"/>
      </c:lineChart>
      <c:dateAx>
        <c:axId val="1145841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027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60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84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876494023904993"/>
          <c:y val="0.89962825278811642"/>
          <c:w val="0.44023904382470075"/>
          <c:h val="7.43494423791819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33" r="0.75000000000001033" t="1" header="0.5" footer="0.5"/>
    <c:pageSetup orientation="landscape" horizontalDpi="-3" verticalDpi="1200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Network</a:t>
            </a:r>
            <a:r>
              <a:rPr lang="en-US" baseline="0"/>
              <a:t> Fees</a:t>
            </a:r>
            <a:r>
              <a:rPr lang="en-US"/>
              <a:t>
FY2010 Trend</a:t>
            </a:r>
          </a:p>
        </c:rich>
      </c:tx>
      <c:layout>
        <c:manualLayout>
          <c:xMode val="edge"/>
          <c:yMode val="edge"/>
          <c:x val="0.3132530120481922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0"/>
          <c:order val="0"/>
          <c:tx>
            <c:strRef>
              <c:f>'FY2010'!$B$74</c:f>
              <c:strCache>
                <c:ptCount val="1"/>
                <c:pt idx="0">
                  <c:v>Credit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'FY2010'!$A$75:$A$86</c:f>
              <c:numCache>
                <c:formatCode>mmm\-yy</c:formatCode>
                <c:ptCount val="12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</c:numCache>
            </c:numRef>
          </c:cat>
          <c:val>
            <c:numRef>
              <c:f>'FY2010'!$B$75:$B$86</c:f>
              <c:numCache>
                <c:formatCode>"$"#,##0.00</c:formatCode>
                <c:ptCount val="12"/>
                <c:pt idx="0">
                  <c:v>508148.56</c:v>
                </c:pt>
                <c:pt idx="1">
                  <c:v>456583.36999999994</c:v>
                </c:pt>
                <c:pt idx="2">
                  <c:v>501045.79</c:v>
                </c:pt>
                <c:pt idx="3">
                  <c:v>483205.17000000004</c:v>
                </c:pt>
                <c:pt idx="4">
                  <c:v>437606.06000000006</c:v>
                </c:pt>
                <c:pt idx="5">
                  <c:v>503055.86000000004</c:v>
                </c:pt>
                <c:pt idx="6">
                  <c:v>513886.76</c:v>
                </c:pt>
                <c:pt idx="7">
                  <c:v>541899.39</c:v>
                </c:pt>
                <c:pt idx="8">
                  <c:v>541386.48000000021</c:v>
                </c:pt>
                <c:pt idx="9">
                  <c:v>651469.45000000007</c:v>
                </c:pt>
                <c:pt idx="10">
                  <c:v>648282.21</c:v>
                </c:pt>
                <c:pt idx="11">
                  <c:v>627577.37999999989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3008"/>
        <c:axId val="115484928"/>
      </c:lineChart>
      <c:dateAx>
        <c:axId val="1154830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849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548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3.2128514056224897E-2"/>
              <c:y val="0.4908442694663168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5483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353413654618473"/>
          <c:y val="0.8916666666666665"/>
          <c:w val="0.29116465863453833"/>
          <c:h val="8.33333333333338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portrait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Terminals </a:t>
            </a:r>
            <a:r>
              <a:rPr lang="en-US" baseline="0"/>
              <a:t>On File</a:t>
            </a:r>
            <a:r>
              <a:rPr lang="en-US"/>
              <a:t>
FY2010 Trend</a:t>
            </a:r>
          </a:p>
        </c:rich>
      </c:tx>
      <c:layout>
        <c:manualLayout>
          <c:xMode val="edge"/>
          <c:yMode val="edge"/>
          <c:x val="0.3147410358565737"/>
          <c:y val="3.85963171926343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15"/>
          <c:y val="0.30526420389325187"/>
          <c:w val="0.81274979452289831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strRef>
              <c:f>'FY2010'!$B$143</c:f>
              <c:strCache>
                <c:ptCount val="1"/>
                <c:pt idx="0">
                  <c:v>Active Terminals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'FY2010'!$A$144:$A$155</c:f>
              <c:numCache>
                <c:formatCode>mmm\-yy</c:formatCode>
                <c:ptCount val="1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</c:numCache>
            </c:numRef>
          </c:cat>
          <c:val>
            <c:numRef>
              <c:f>'FY2010'!$B$144:$B$155</c:f>
              <c:numCache>
                <c:formatCode>#,##0</c:formatCode>
                <c:ptCount val="12"/>
                <c:pt idx="0">
                  <c:v>5671</c:v>
                </c:pt>
                <c:pt idx="1">
                  <c:v>5730</c:v>
                </c:pt>
                <c:pt idx="2">
                  <c:v>5768</c:v>
                </c:pt>
                <c:pt idx="3">
                  <c:v>5784</c:v>
                </c:pt>
                <c:pt idx="4">
                  <c:v>5824</c:v>
                </c:pt>
                <c:pt idx="5">
                  <c:v>5894</c:v>
                </c:pt>
                <c:pt idx="6">
                  <c:v>5987</c:v>
                </c:pt>
                <c:pt idx="7">
                  <c:v>6048</c:v>
                </c:pt>
                <c:pt idx="8">
                  <c:v>6017</c:v>
                </c:pt>
                <c:pt idx="9">
                  <c:v>5997</c:v>
                </c:pt>
                <c:pt idx="10">
                  <c:v>6064</c:v>
                </c:pt>
                <c:pt idx="11">
                  <c:v>6188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7696"/>
        <c:axId val="115528064"/>
      </c:lineChart>
      <c:dateAx>
        <c:axId val="1155176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5280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552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517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76514937624838"/>
          <c:y val="0.90175749684832762"/>
          <c:w val="0.44023946209911224"/>
          <c:h val="7.7193461053589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landscape" horizontalDpi="-3" verticalDpi="1200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</a:t>
            </a:r>
            <a:r>
              <a:rPr lang="en-US" baseline="0"/>
              <a:t> Ticket</a:t>
            </a:r>
            <a:r>
              <a:rPr lang="en-US"/>
              <a:t>
FY2010 Trend</a:t>
            </a:r>
          </a:p>
        </c:rich>
      </c:tx>
      <c:layout>
        <c:manualLayout>
          <c:xMode val="edge"/>
          <c:yMode val="edge"/>
          <c:x val="0.31388329979879792"/>
          <c:y val="4.2735042735042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42"/>
          <c:w val="0.74446680080482897"/>
          <c:h val="0.37078787302447735"/>
        </c:manualLayout>
      </c:layout>
      <c:lineChart>
        <c:grouping val="standard"/>
        <c:varyColors val="0"/>
        <c:ser>
          <c:idx val="0"/>
          <c:order val="0"/>
          <c:tx>
            <c:v>Credit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'FY2010'!$A$41:$A$52</c:f>
              <c:numCache>
                <c:formatCode>mmm\-yy</c:formatCode>
                <c:ptCount val="12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</c:numCache>
            </c:numRef>
          </c:cat>
          <c:val>
            <c:numRef>
              <c:f>'FY2010'!$B$41:$B$52</c:f>
              <c:numCache>
                <c:formatCode>"$"#,##0.00</c:formatCode>
                <c:ptCount val="12"/>
                <c:pt idx="0">
                  <c:v>127.37759691286068</c:v>
                </c:pt>
                <c:pt idx="1">
                  <c:v>128.04454720171765</c:v>
                </c:pt>
                <c:pt idx="2">
                  <c:v>128.74043711420742</c:v>
                </c:pt>
                <c:pt idx="3">
                  <c:v>123.49923058193913</c:v>
                </c:pt>
                <c:pt idx="4">
                  <c:v>118.30892399547763</c:v>
                </c:pt>
                <c:pt idx="5">
                  <c:v>121.36044627958246</c:v>
                </c:pt>
                <c:pt idx="6">
                  <c:v>118.58613449931012</c:v>
                </c:pt>
                <c:pt idx="7">
                  <c:v>118.61553159532819</c:v>
                </c:pt>
                <c:pt idx="8">
                  <c:v>121.53918398962993</c:v>
                </c:pt>
                <c:pt idx="9">
                  <c:v>122.17297055766821</c:v>
                </c:pt>
                <c:pt idx="10">
                  <c:v>126.6248025179724</c:v>
                </c:pt>
                <c:pt idx="11">
                  <c:v>114.77265189111495</c:v>
                </c:pt>
              </c:numCache>
            </c:numRef>
          </c:val>
          <c:smooth val="0"/>
        </c:ser>
        <c:ser>
          <c:idx val="1"/>
          <c:order val="1"/>
          <c:tx>
            <c:v>PIN Debit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'FY2010'!$A$41:$A$52</c:f>
              <c:numCache>
                <c:formatCode>mmm\-yy</c:formatCode>
                <c:ptCount val="12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</c:numCache>
            </c:numRef>
          </c:cat>
          <c:val>
            <c:numRef>
              <c:f>'FY2010'!$C$41:$C$52</c:f>
              <c:numCache>
                <c:formatCode>"$"#,##0.00</c:formatCode>
                <c:ptCount val="12"/>
                <c:pt idx="0">
                  <c:v>76.526259825762722</c:v>
                </c:pt>
                <c:pt idx="1">
                  <c:v>77.503905088232614</c:v>
                </c:pt>
                <c:pt idx="2">
                  <c:v>78.108261309395004</c:v>
                </c:pt>
                <c:pt idx="3">
                  <c:v>78.367761552640303</c:v>
                </c:pt>
                <c:pt idx="4">
                  <c:v>77.811197424898111</c:v>
                </c:pt>
                <c:pt idx="5">
                  <c:v>75.023588270221609</c:v>
                </c:pt>
                <c:pt idx="6">
                  <c:v>74.133988920084633</c:v>
                </c:pt>
                <c:pt idx="7">
                  <c:v>75.674865685483582</c:v>
                </c:pt>
                <c:pt idx="8">
                  <c:v>71.812048192771087</c:v>
                </c:pt>
                <c:pt idx="9">
                  <c:v>74.369886771443717</c:v>
                </c:pt>
                <c:pt idx="10">
                  <c:v>73.84266236476428</c:v>
                </c:pt>
                <c:pt idx="11">
                  <c:v>73.624161717059039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92288"/>
        <c:axId val="115694208"/>
      </c:lineChart>
      <c:dateAx>
        <c:axId val="1156922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942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5694208"/>
        <c:scaling>
          <c:orientation val="minMax"/>
          <c:max val="13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721605311771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92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649899396378803"/>
          <c:y val="0.88888888888888884"/>
          <c:w val="0.2917505030181089"/>
          <c:h val="8.54700854700856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portrait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</a:t>
            </a:r>
            <a:r>
              <a:rPr lang="en-US" baseline="0"/>
              <a:t> Network Fee Per Transaction</a:t>
            </a:r>
            <a:r>
              <a:rPr lang="en-US"/>
              <a:t>
FY2010 Trend</a:t>
            </a:r>
          </a:p>
        </c:rich>
      </c:tx>
      <c:layout>
        <c:manualLayout>
          <c:xMode val="edge"/>
          <c:yMode val="edge"/>
          <c:x val="0.31325301204819223"/>
          <c:y val="4.14938386938920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0"/>
          <c:order val="0"/>
          <c:tx>
            <c:v>Credit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'FY2010'!$A$109:$A$120</c:f>
              <c:numCache>
                <c:formatCode>mmm\-yy</c:formatCode>
                <c:ptCount val="12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</c:numCache>
            </c:numRef>
          </c:cat>
          <c:val>
            <c:numRef>
              <c:f>'FY2010'!$B$109:$B$120</c:f>
              <c:numCache>
                <c:formatCode>"$"#,##0.000</c:formatCode>
                <c:ptCount val="12"/>
                <c:pt idx="0">
                  <c:v>0.12806996019398439</c:v>
                </c:pt>
                <c:pt idx="1">
                  <c:v>0.129638962498449</c:v>
                </c:pt>
                <c:pt idx="2">
                  <c:v>0.12999758449719401</c:v>
                </c:pt>
                <c:pt idx="3">
                  <c:v>0.13273521722660533</c:v>
                </c:pt>
                <c:pt idx="4">
                  <c:v>0.12411191018233933</c:v>
                </c:pt>
                <c:pt idx="5">
                  <c:v>0.12578560012322121</c:v>
                </c:pt>
                <c:pt idx="6">
                  <c:v>0.12934030716786257</c:v>
                </c:pt>
                <c:pt idx="7">
                  <c:v>0.12914315245010027</c:v>
                </c:pt>
                <c:pt idx="8">
                  <c:v>0.13122608802935626</c:v>
                </c:pt>
                <c:pt idx="9">
                  <c:v>0.14462305557226687</c:v>
                </c:pt>
                <c:pt idx="10">
                  <c:v>0.14985694891385981</c:v>
                </c:pt>
                <c:pt idx="11">
                  <c:v>0.13571233052376769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27744"/>
        <c:axId val="115726976"/>
      </c:lineChart>
      <c:dateAx>
        <c:axId val="1157277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269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5726976"/>
        <c:scaling>
          <c:orientation val="minMax"/>
          <c:max val="0.16"/>
          <c:min val="0.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3.2128514056224897E-2"/>
              <c:y val="0.4908443436095949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27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353413654618473"/>
          <c:y val="0.89211619733973857"/>
          <c:w val="0.29116465863453833"/>
          <c:h val="8.2987677387784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Signature</a:t>
            </a:r>
            <a:r>
              <a:rPr lang="en-US" baseline="0"/>
              <a:t> Debit Transactions</a:t>
            </a:r>
            <a:r>
              <a:rPr lang="en-US"/>
              <a:t>
FY2017 Trend</a:t>
            </a:r>
          </a:p>
        </c:rich>
      </c:tx>
      <c:layout>
        <c:manualLayout>
          <c:xMode val="edge"/>
          <c:yMode val="edge"/>
          <c:x val="0.2969618686619378"/>
          <c:y val="3.6977952755906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4"/>
          <c:order val="0"/>
          <c:tx>
            <c:v>Sig Debit Tran Count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'FY2015'!$B$93:$B$104</c:f>
              <c:numCache>
                <c:formatCode>#,##0</c:formatCode>
                <c:ptCount val="12"/>
                <c:pt idx="0">
                  <c:v>2714220</c:v>
                </c:pt>
                <c:pt idx="1">
                  <c:v>2455499</c:v>
                </c:pt>
                <c:pt idx="2">
                  <c:v>2702857</c:v>
                </c:pt>
                <c:pt idx="3">
                  <c:v>2653191</c:v>
                </c:pt>
                <c:pt idx="4">
                  <c:v>2555977</c:v>
                </c:pt>
                <c:pt idx="5">
                  <c:v>2896287</c:v>
                </c:pt>
                <c:pt idx="6">
                  <c:v>2849861</c:v>
                </c:pt>
                <c:pt idx="7">
                  <c:v>2857190</c:v>
                </c:pt>
                <c:pt idx="8">
                  <c:v>2832924</c:v>
                </c:pt>
                <c:pt idx="9">
                  <c:v>2951886</c:v>
                </c:pt>
                <c:pt idx="10">
                  <c:v>2846005</c:v>
                </c:pt>
                <c:pt idx="11">
                  <c:v>2716603</c:v>
                </c:pt>
              </c:numCache>
            </c:numRef>
          </c:val>
          <c:smooth val="0"/>
        </c:ser>
        <c:ser>
          <c:idx val="0"/>
          <c:order val="1"/>
          <c:tx>
            <c:v>Sig Debit Tran Count 2014</c:v>
          </c:tx>
          <c:spPr>
            <a:ln w="12700"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'FY2014'!$B$93:$B$104</c:f>
              <c:numCache>
                <c:formatCode>#,##0</c:formatCode>
                <c:ptCount val="12"/>
                <c:pt idx="0">
                  <c:v>2238270</c:v>
                </c:pt>
                <c:pt idx="1">
                  <c:v>2357475</c:v>
                </c:pt>
                <c:pt idx="2">
                  <c:v>2259951</c:v>
                </c:pt>
                <c:pt idx="3">
                  <c:v>2350622</c:v>
                </c:pt>
                <c:pt idx="4">
                  <c:v>2344240</c:v>
                </c:pt>
                <c:pt idx="5">
                  <c:v>2683176</c:v>
                </c:pt>
                <c:pt idx="6">
                  <c:v>2622812</c:v>
                </c:pt>
                <c:pt idx="7">
                  <c:v>2730720</c:v>
                </c:pt>
                <c:pt idx="8">
                  <c:v>2609899</c:v>
                </c:pt>
                <c:pt idx="9">
                  <c:v>2790258</c:v>
                </c:pt>
                <c:pt idx="10">
                  <c:v>2791990</c:v>
                </c:pt>
                <c:pt idx="11">
                  <c:v>2511687</c:v>
                </c:pt>
              </c:numCache>
            </c:numRef>
          </c:val>
          <c:smooth val="0"/>
        </c:ser>
        <c:ser>
          <c:idx val="3"/>
          <c:order val="2"/>
          <c:tx>
            <c:v>Sig Debit Tran Count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'FY2013'!$B$93:$B$104</c:f>
              <c:numCache>
                <c:formatCode>#,##0</c:formatCode>
                <c:ptCount val="12"/>
                <c:pt idx="0">
                  <c:v>2331184</c:v>
                </c:pt>
                <c:pt idx="1">
                  <c:v>2180620</c:v>
                </c:pt>
                <c:pt idx="2">
                  <c:v>2229765</c:v>
                </c:pt>
                <c:pt idx="3">
                  <c:v>2324659</c:v>
                </c:pt>
                <c:pt idx="4">
                  <c:v>2273355</c:v>
                </c:pt>
                <c:pt idx="5">
                  <c:v>2648387</c:v>
                </c:pt>
                <c:pt idx="6">
                  <c:v>2450890</c:v>
                </c:pt>
                <c:pt idx="7">
                  <c:v>2652022</c:v>
                </c:pt>
                <c:pt idx="8">
                  <c:v>2607548</c:v>
                </c:pt>
                <c:pt idx="9">
                  <c:v>2510877</c:v>
                </c:pt>
                <c:pt idx="10">
                  <c:v>2601363</c:v>
                </c:pt>
                <c:pt idx="11">
                  <c:v>2340406</c:v>
                </c:pt>
              </c:numCache>
            </c:numRef>
          </c:val>
          <c:smooth val="0"/>
        </c:ser>
        <c:ser>
          <c:idx val="2"/>
          <c:order val="3"/>
          <c:tx>
            <c:v>Sig Debit Tran Count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'FY2012'!$B$101:$B$112</c:f>
              <c:numCache>
                <c:formatCode>#,##0</c:formatCode>
                <c:ptCount val="12"/>
                <c:pt idx="0">
                  <c:v>2335314</c:v>
                </c:pt>
                <c:pt idx="1">
                  <c:v>2226585</c:v>
                </c:pt>
                <c:pt idx="2">
                  <c:v>2361670</c:v>
                </c:pt>
                <c:pt idx="3">
                  <c:v>2286304</c:v>
                </c:pt>
                <c:pt idx="4">
                  <c:v>2422856</c:v>
                </c:pt>
                <c:pt idx="5">
                  <c:v>2660111</c:v>
                </c:pt>
                <c:pt idx="6">
                  <c:v>2407902</c:v>
                </c:pt>
                <c:pt idx="7">
                  <c:v>2559494</c:v>
                </c:pt>
                <c:pt idx="8">
                  <c:v>2566260</c:v>
                </c:pt>
                <c:pt idx="9">
                  <c:v>2417787</c:v>
                </c:pt>
                <c:pt idx="10">
                  <c:v>2589648</c:v>
                </c:pt>
                <c:pt idx="11">
                  <c:v>2359446</c:v>
                </c:pt>
              </c:numCache>
            </c:numRef>
          </c:val>
          <c:smooth val="0"/>
        </c:ser>
        <c:ser>
          <c:idx val="1"/>
          <c:order val="4"/>
          <c:tx>
            <c:v>Sig Debit Tran Count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'FY2011'!$B$102:$B$113</c:f>
              <c:numCache>
                <c:formatCode>#,##0</c:formatCode>
                <c:ptCount val="12"/>
                <c:pt idx="0">
                  <c:v>2074161</c:v>
                </c:pt>
                <c:pt idx="1">
                  <c:v>1974976</c:v>
                </c:pt>
                <c:pt idx="2">
                  <c:v>2125799</c:v>
                </c:pt>
                <c:pt idx="3">
                  <c:v>2058669</c:v>
                </c:pt>
                <c:pt idx="4">
                  <c:v>2084273</c:v>
                </c:pt>
                <c:pt idx="5">
                  <c:v>2399589</c:v>
                </c:pt>
                <c:pt idx="6">
                  <c:v>2321494</c:v>
                </c:pt>
                <c:pt idx="7">
                  <c:v>2320821</c:v>
                </c:pt>
                <c:pt idx="8">
                  <c:v>2387014</c:v>
                </c:pt>
                <c:pt idx="9">
                  <c:v>2494889</c:v>
                </c:pt>
                <c:pt idx="10">
                  <c:v>2422838</c:v>
                </c:pt>
                <c:pt idx="11">
                  <c:v>2321746</c:v>
                </c:pt>
              </c:numCache>
            </c:numRef>
          </c:val>
          <c:smooth val="0"/>
        </c:ser>
        <c:ser>
          <c:idx val="5"/>
          <c:order val="5"/>
          <c:tx>
            <c:v>Sig Debit Tran Count 2016</c:v>
          </c:tx>
          <c:val>
            <c:numRef>
              <c:f>'FY2016'!$B$100:$B$111</c:f>
              <c:numCache>
                <c:formatCode>#,##0</c:formatCode>
                <c:ptCount val="12"/>
                <c:pt idx="0">
                  <c:v>2795438</c:v>
                </c:pt>
                <c:pt idx="1">
                  <c:v>2435981</c:v>
                </c:pt>
                <c:pt idx="2">
                  <c:v>2665659</c:v>
                </c:pt>
                <c:pt idx="3">
                  <c:v>2597817</c:v>
                </c:pt>
                <c:pt idx="4">
                  <c:v>2642545</c:v>
                </c:pt>
                <c:pt idx="5">
                  <c:v>3035299</c:v>
                </c:pt>
                <c:pt idx="6">
                  <c:v>2903222</c:v>
                </c:pt>
                <c:pt idx="7">
                  <c:v>2941734</c:v>
                </c:pt>
                <c:pt idx="8">
                  <c:v>3181671</c:v>
                </c:pt>
                <c:pt idx="9">
                  <c:v>3196714</c:v>
                </c:pt>
                <c:pt idx="10">
                  <c:v>3161347</c:v>
                </c:pt>
                <c:pt idx="11">
                  <c:v>2993058</c:v>
                </c:pt>
              </c:numCache>
            </c:numRef>
          </c:val>
          <c:smooth val="0"/>
        </c:ser>
        <c:ser>
          <c:idx val="6"/>
          <c:order val="6"/>
          <c:tx>
            <c:v>Sig Debit Tran Count 2017</c:v>
          </c:tx>
          <c:val>
            <c:numRef>
              <c:f>'FY2017'!$B$100:$B$111</c:f>
              <c:numCache>
                <c:formatCode>#,##0</c:formatCode>
                <c:ptCount val="12"/>
                <c:pt idx="0">
                  <c:v>2896654</c:v>
                </c:pt>
                <c:pt idx="1">
                  <c:v>2787317</c:v>
                </c:pt>
                <c:pt idx="2">
                  <c:v>2871100</c:v>
                </c:pt>
                <c:pt idx="3">
                  <c:v>2716107</c:v>
                </c:pt>
                <c:pt idx="4">
                  <c:v>2739856</c:v>
                </c:pt>
                <c:pt idx="5">
                  <c:v>3271727</c:v>
                </c:pt>
                <c:pt idx="6">
                  <c:v>2998113</c:v>
                </c:pt>
                <c:pt idx="7">
                  <c:v>3002104</c:v>
                </c:pt>
                <c:pt idx="8">
                  <c:v>3063439</c:v>
                </c:pt>
                <c:pt idx="9" formatCode="0">
                  <c:v>2950832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26432"/>
        <c:axId val="82627968"/>
      </c:lineChart>
      <c:dateAx>
        <c:axId val="826264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6279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627968"/>
        <c:scaling>
          <c:orientation val="minMax"/>
          <c:max val="3500000"/>
          <c:min val="17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626432"/>
        <c:crosses val="autoZero"/>
        <c:crossBetween val="between"/>
        <c:majorUnit val="25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393939393939391E-2"/>
          <c:y val="0.83665472440944877"/>
          <c:w val="0.90241273519941489"/>
          <c:h val="0.16334517008903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 Cost Per Transaction
FY2017 Trend</a:t>
            </a:r>
          </a:p>
        </c:rich>
      </c:tx>
      <c:layout>
        <c:manualLayout>
          <c:xMode val="edge"/>
          <c:yMode val="edge"/>
          <c:x val="0.31763970555471699"/>
          <c:y val="3.6629960000387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460536442200781"/>
          <c:w val="0.80971659919028338"/>
          <c:h val="0.39315343547491688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'FY2015'!$C$111:$C$122</c:f>
              <c:numCache>
                <c:formatCode>"$"#,##0.00</c:formatCode>
                <c:ptCount val="12"/>
                <c:pt idx="0">
                  <c:v>0.26239503219665694</c:v>
                </c:pt>
                <c:pt idx="1">
                  <c:v>0.25548647386311807</c:v>
                </c:pt>
                <c:pt idx="2">
                  <c:v>0.26815567325148076</c:v>
                </c:pt>
                <c:pt idx="3">
                  <c:v>0.26262222488200093</c:v>
                </c:pt>
                <c:pt idx="4">
                  <c:v>0.25605286064261085</c:v>
                </c:pt>
                <c:pt idx="5">
                  <c:v>0.26692211050420012</c:v>
                </c:pt>
                <c:pt idx="6">
                  <c:v>0.26262432810678216</c:v>
                </c:pt>
                <c:pt idx="7">
                  <c:v>0.26288354394039226</c:v>
                </c:pt>
                <c:pt idx="8">
                  <c:v>0.26044454077724766</c:v>
                </c:pt>
                <c:pt idx="9">
                  <c:v>0.26425594911861738</c:v>
                </c:pt>
                <c:pt idx="10">
                  <c:v>0.2556559106387562</c:v>
                </c:pt>
                <c:pt idx="11">
                  <c:v>0.26603126863327159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'FY2014'!$C$111:$C$122</c:f>
              <c:numCache>
                <c:formatCode>"$"#,##0.00</c:formatCode>
                <c:ptCount val="12"/>
                <c:pt idx="0">
                  <c:v>0.26313708033660427</c:v>
                </c:pt>
                <c:pt idx="1">
                  <c:v>0.25087247469477836</c:v>
                </c:pt>
                <c:pt idx="2">
                  <c:v>0.26569327534301324</c:v>
                </c:pt>
                <c:pt idx="3">
                  <c:v>0.25936000842717266</c:v>
                </c:pt>
                <c:pt idx="4">
                  <c:v>0.25499560667677607</c:v>
                </c:pt>
                <c:pt idx="5">
                  <c:v>0.25308335888416955</c:v>
                </c:pt>
                <c:pt idx="6">
                  <c:v>0.26150744801804932</c:v>
                </c:pt>
                <c:pt idx="7">
                  <c:v>0.26162785706717784</c:v>
                </c:pt>
                <c:pt idx="8">
                  <c:v>0.25088715169649767</c:v>
                </c:pt>
                <c:pt idx="9">
                  <c:v>0.26037346878857881</c:v>
                </c:pt>
                <c:pt idx="10">
                  <c:v>0.24142554144670975</c:v>
                </c:pt>
                <c:pt idx="11">
                  <c:v>0.25379117814349661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'FY2013'!$C$111:$C$122</c:f>
              <c:numCache>
                <c:formatCode>"$"#,##0.00</c:formatCode>
                <c:ptCount val="12"/>
                <c:pt idx="0">
                  <c:v>0.25478361122629961</c:v>
                </c:pt>
                <c:pt idx="1">
                  <c:v>0.25993983819894168</c:v>
                </c:pt>
                <c:pt idx="2">
                  <c:v>0.25548100520536632</c:v>
                </c:pt>
                <c:pt idx="3">
                  <c:v>0.2547027941192741</c:v>
                </c:pt>
                <c:pt idx="4">
                  <c:v>0.25628219806324959</c:v>
                </c:pt>
                <c:pt idx="5">
                  <c:v>0.2544229745824621</c:v>
                </c:pt>
                <c:pt idx="6">
                  <c:v>0.25862832040731443</c:v>
                </c:pt>
                <c:pt idx="7">
                  <c:v>0.26122901143797722</c:v>
                </c:pt>
                <c:pt idx="8">
                  <c:v>0.2537336314708864</c:v>
                </c:pt>
                <c:pt idx="9">
                  <c:v>0.2581516573439579</c:v>
                </c:pt>
                <c:pt idx="10">
                  <c:v>0.25925854796607978</c:v>
                </c:pt>
                <c:pt idx="11">
                  <c:v>0.25184819653875296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'FY2012'!$C$119:$C$130</c:f>
              <c:numCache>
                <c:formatCode>"$"#,##0.00</c:formatCode>
                <c:ptCount val="12"/>
                <c:pt idx="0">
                  <c:v>0.24899833334566843</c:v>
                </c:pt>
                <c:pt idx="1">
                  <c:v>0.2600791733059849</c:v>
                </c:pt>
                <c:pt idx="2">
                  <c:v>0.26260164110356954</c:v>
                </c:pt>
                <c:pt idx="3">
                  <c:v>0.25332939431671281</c:v>
                </c:pt>
                <c:pt idx="4">
                  <c:v>0.25741409648948466</c:v>
                </c:pt>
                <c:pt idx="5">
                  <c:v>0.26189062778974559</c:v>
                </c:pt>
                <c:pt idx="6">
                  <c:v>0.24997727674462122</c:v>
                </c:pt>
                <c:pt idx="7">
                  <c:v>0.258171809595099</c:v>
                </c:pt>
                <c:pt idx="8">
                  <c:v>0.25924533691109353</c:v>
                </c:pt>
                <c:pt idx="9">
                  <c:v>0.25261059129003161</c:v>
                </c:pt>
                <c:pt idx="10">
                  <c:v>0.2614118228920887</c:v>
                </c:pt>
                <c:pt idx="11">
                  <c:v>0.25289277235981011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'FY2011'!$C$120:$C$131</c:f>
              <c:numCache>
                <c:formatCode>"$"#,##0.00</c:formatCode>
                <c:ptCount val="12"/>
                <c:pt idx="0">
                  <c:v>0.31712407672220611</c:v>
                </c:pt>
                <c:pt idx="1">
                  <c:v>0.31385656699957343</c:v>
                </c:pt>
                <c:pt idx="2">
                  <c:v>0.32205758364113191</c:v>
                </c:pt>
                <c:pt idx="3">
                  <c:v>0.30892388382955405</c:v>
                </c:pt>
                <c:pt idx="4">
                  <c:v>0.33535945420629232</c:v>
                </c:pt>
                <c:pt idx="5">
                  <c:v>0.34372345073842336</c:v>
                </c:pt>
                <c:pt idx="6">
                  <c:v>0.33892408499765814</c:v>
                </c:pt>
                <c:pt idx="7">
                  <c:v>0.32136735731763222</c:v>
                </c:pt>
                <c:pt idx="8">
                  <c:v>0.33433699763700947</c:v>
                </c:pt>
                <c:pt idx="9">
                  <c:v>0.33302215572218508</c:v>
                </c:pt>
                <c:pt idx="10">
                  <c:v>0.33265133951261444</c:v>
                </c:pt>
                <c:pt idx="11">
                  <c:v>0.33915954905366197</c:v>
                </c:pt>
              </c:numCache>
            </c:numRef>
          </c:val>
          <c:smooth val="0"/>
        </c:ser>
        <c:ser>
          <c:idx val="5"/>
          <c:order val="5"/>
          <c:tx>
            <c:v>PIN Debit 2016</c:v>
          </c:tx>
          <c:val>
            <c:numRef>
              <c:f>'FY2016'!$C$118:$C$129</c:f>
              <c:numCache>
                <c:formatCode>"$"#,##0.00</c:formatCode>
                <c:ptCount val="12"/>
                <c:pt idx="0">
                  <c:v>0.26829419861158776</c:v>
                </c:pt>
                <c:pt idx="1">
                  <c:v>0.25775039963771107</c:v>
                </c:pt>
                <c:pt idx="2">
                  <c:v>0.27432426245725122</c:v>
                </c:pt>
                <c:pt idx="3">
                  <c:v>0.26064922697275611</c:v>
                </c:pt>
                <c:pt idx="4">
                  <c:v>0.26132920916287378</c:v>
                </c:pt>
                <c:pt idx="5">
                  <c:v>0.26838992375310755</c:v>
                </c:pt>
                <c:pt idx="6">
                  <c:v>0.263802053164646</c:v>
                </c:pt>
                <c:pt idx="7">
                  <c:v>0.2556382868867827</c:v>
                </c:pt>
                <c:pt idx="8">
                  <c:v>0.26068327999020469</c:v>
                </c:pt>
                <c:pt idx="9">
                  <c:v>0.26123403735205702</c:v>
                </c:pt>
                <c:pt idx="10">
                  <c:v>0.25924536284009236</c:v>
                </c:pt>
                <c:pt idx="11">
                  <c:v>0.26356996594596238</c:v>
                </c:pt>
              </c:numCache>
            </c:numRef>
          </c:val>
          <c:smooth val="0"/>
        </c:ser>
        <c:ser>
          <c:idx val="6"/>
          <c:order val="6"/>
          <c:tx>
            <c:v>PIN Debit 2017</c:v>
          </c:tx>
          <c:val>
            <c:numRef>
              <c:f>'FY2017'!$C$118:$C$129</c:f>
              <c:numCache>
                <c:formatCode>_("$"* #,##0.00_);_("$"* \(#,##0.00\);_("$"* "-"??_);_(@_)</c:formatCode>
                <c:ptCount val="12"/>
                <c:pt idx="0">
                  <c:v>0.25350086392383336</c:v>
                </c:pt>
                <c:pt idx="1">
                  <c:v>0.2555042655217114</c:v>
                </c:pt>
                <c:pt idx="2">
                  <c:v>0.26483754322849562</c:v>
                </c:pt>
                <c:pt idx="3">
                  <c:v>0.25674135373213186</c:v>
                </c:pt>
                <c:pt idx="4">
                  <c:v>0.25972892055372876</c:v>
                </c:pt>
                <c:pt idx="5">
                  <c:v>0.26009262080426476</c:v>
                </c:pt>
                <c:pt idx="6">
                  <c:v>0.26048314134008238</c:v>
                </c:pt>
                <c:pt idx="7">
                  <c:v>0.25896861645020269</c:v>
                </c:pt>
                <c:pt idx="8" formatCode="&quot;$&quot;#,##0.00">
                  <c:v>0.25970665886888461</c:v>
                </c:pt>
                <c:pt idx="9" formatCode="&quot;$&quot;#,##0.00">
                  <c:v>0.25422533373171641</c:v>
                </c:pt>
                <c:pt idx="10" formatCode="&quot;$&quot;#,##0.00">
                  <c:v>0</c:v>
                </c:pt>
                <c:pt idx="11" formatCode="&quot;$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86336"/>
        <c:axId val="82687872"/>
      </c:lineChart>
      <c:dateAx>
        <c:axId val="826863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6878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687872"/>
        <c:scaling>
          <c:orientation val="minMax"/>
          <c:max val="0.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686336"/>
        <c:crosses val="autoZero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24448672197769E-2"/>
          <c:y val="0.85271413302478793"/>
          <c:w val="0.91212944345751801"/>
          <c:h val="0.147286127979390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Ticket
FY2017 Trend</a:t>
            </a:r>
          </a:p>
        </c:rich>
      </c:tx>
      <c:layout>
        <c:manualLayout>
          <c:xMode val="edge"/>
          <c:yMode val="edge"/>
          <c:x val="0.30673997071109277"/>
          <c:y val="4.2416130986108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076923076924"/>
          <c:y val="0.30633802816901839"/>
          <c:w val="0.74291497975708498"/>
          <c:h val="0.38732394366197764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'FY2015'!$C$42:$C$53</c:f>
              <c:numCache>
                <c:formatCode>"$"#,##0.00</c:formatCode>
                <c:ptCount val="12"/>
                <c:pt idx="0">
                  <c:v>70.58219996250692</c:v>
                </c:pt>
                <c:pt idx="1">
                  <c:v>73.68324035304353</c:v>
                </c:pt>
                <c:pt idx="2">
                  <c:v>74.632786345826659</c:v>
                </c:pt>
                <c:pt idx="3">
                  <c:v>72.356782042878351</c:v>
                </c:pt>
                <c:pt idx="4">
                  <c:v>71.542165531620512</c:v>
                </c:pt>
                <c:pt idx="5">
                  <c:v>72.293042721512876</c:v>
                </c:pt>
                <c:pt idx="6">
                  <c:v>68.777223584338813</c:v>
                </c:pt>
                <c:pt idx="7">
                  <c:v>70.035125714864861</c:v>
                </c:pt>
                <c:pt idx="8">
                  <c:v>67.824769915463023</c:v>
                </c:pt>
                <c:pt idx="9">
                  <c:v>68.866021274074782</c:v>
                </c:pt>
                <c:pt idx="10">
                  <c:v>69.562679302642593</c:v>
                </c:pt>
                <c:pt idx="11">
                  <c:v>68.704085365228167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'FY2014'!$C$42:$C$53</c:f>
              <c:numCache>
                <c:formatCode>"$"#,##0.00</c:formatCode>
                <c:ptCount val="12"/>
                <c:pt idx="0">
                  <c:v>71.60774830387561</c:v>
                </c:pt>
                <c:pt idx="1">
                  <c:v>74.600119805463422</c:v>
                </c:pt>
                <c:pt idx="2">
                  <c:v>74.017556772743347</c:v>
                </c:pt>
                <c:pt idx="3">
                  <c:v>72.293042686077513</c:v>
                </c:pt>
                <c:pt idx="4">
                  <c:v>73.553813085349418</c:v>
                </c:pt>
                <c:pt idx="5">
                  <c:v>72.021816832436855</c:v>
                </c:pt>
                <c:pt idx="6">
                  <c:v>69.869066456700111</c:v>
                </c:pt>
                <c:pt idx="7">
                  <c:v>70.356567823138747</c:v>
                </c:pt>
                <c:pt idx="8">
                  <c:v>69.691644298661885</c:v>
                </c:pt>
                <c:pt idx="9">
                  <c:v>69.640189715378696</c:v>
                </c:pt>
                <c:pt idx="10">
                  <c:v>72.981387964572079</c:v>
                </c:pt>
                <c:pt idx="11">
                  <c:v>69.551011104647444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'FY2013'!$C$42:$C$53</c:f>
              <c:numCache>
                <c:formatCode>"$"#,##0.00</c:formatCode>
                <c:ptCount val="12"/>
                <c:pt idx="0">
                  <c:v>71.531331869495034</c:v>
                </c:pt>
                <c:pt idx="1">
                  <c:v>74.151397463108168</c:v>
                </c:pt>
                <c:pt idx="2">
                  <c:v>77.257132373990302</c:v>
                </c:pt>
                <c:pt idx="3">
                  <c:v>71.099697554860896</c:v>
                </c:pt>
                <c:pt idx="4">
                  <c:v>73.923200983222529</c:v>
                </c:pt>
                <c:pt idx="5">
                  <c:v>73.452301340550662</c:v>
                </c:pt>
                <c:pt idx="6">
                  <c:v>69.964863140436705</c:v>
                </c:pt>
                <c:pt idx="7">
                  <c:v>70.138082945474522</c:v>
                </c:pt>
                <c:pt idx="8">
                  <c:v>71.743598556777542</c:v>
                </c:pt>
                <c:pt idx="9">
                  <c:v>73.029976033962313</c:v>
                </c:pt>
                <c:pt idx="10">
                  <c:v>74.527008679529445</c:v>
                </c:pt>
                <c:pt idx="11">
                  <c:v>71.858288281872149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'FY2012'!$C$50:$C$61</c:f>
              <c:numCache>
                <c:formatCode>"$"#,##0.00</c:formatCode>
                <c:ptCount val="12"/>
                <c:pt idx="0">
                  <c:v>74.513028556565985</c:v>
                </c:pt>
                <c:pt idx="1">
                  <c:v>75.040252533115918</c:v>
                </c:pt>
                <c:pt idx="2">
                  <c:v>77.628981041699859</c:v>
                </c:pt>
                <c:pt idx="3">
                  <c:v>74.220393747850551</c:v>
                </c:pt>
                <c:pt idx="4">
                  <c:v>75.204442269236168</c:v>
                </c:pt>
                <c:pt idx="5">
                  <c:v>73.442640684940415</c:v>
                </c:pt>
                <c:pt idx="6">
                  <c:v>73.00097182129538</c:v>
                </c:pt>
                <c:pt idx="7">
                  <c:v>71.804025371561394</c:v>
                </c:pt>
                <c:pt idx="8">
                  <c:v>73.065851685756627</c:v>
                </c:pt>
                <c:pt idx="9">
                  <c:v>72.261321238961003</c:v>
                </c:pt>
                <c:pt idx="10">
                  <c:v>71.77786742178931</c:v>
                </c:pt>
                <c:pt idx="11">
                  <c:v>73.932130116771461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'FY2011'!$C$51:$C$62</c:f>
              <c:numCache>
                <c:formatCode>"$"#,##0.00</c:formatCode>
                <c:ptCount val="12"/>
                <c:pt idx="0">
                  <c:v>74.694063147862266</c:v>
                </c:pt>
                <c:pt idx="1">
                  <c:v>74.700265331452968</c:v>
                </c:pt>
                <c:pt idx="2">
                  <c:v>76.953366410678626</c:v>
                </c:pt>
                <c:pt idx="3">
                  <c:v>75.075288726223746</c:v>
                </c:pt>
                <c:pt idx="4">
                  <c:v>74.848142617174119</c:v>
                </c:pt>
                <c:pt idx="5">
                  <c:v>73.097539944886577</c:v>
                </c:pt>
                <c:pt idx="6">
                  <c:v>74.291772227570604</c:v>
                </c:pt>
                <c:pt idx="7">
                  <c:v>73.889229022099443</c:v>
                </c:pt>
                <c:pt idx="8">
                  <c:v>72.608130704620123</c:v>
                </c:pt>
                <c:pt idx="9">
                  <c:v>74.974760464383408</c:v>
                </c:pt>
                <c:pt idx="10">
                  <c:v>73.221295087386395</c:v>
                </c:pt>
                <c:pt idx="11">
                  <c:v>74.664125337925867</c:v>
                </c:pt>
              </c:numCache>
            </c:numRef>
          </c:val>
          <c:smooth val="0"/>
        </c:ser>
        <c:ser>
          <c:idx val="5"/>
          <c:order val="5"/>
          <c:tx>
            <c:v>PIN Debit 2016</c:v>
          </c:tx>
          <c:val>
            <c:numRef>
              <c:f>'FY2016'!$C$42:$C$53</c:f>
              <c:numCache>
                <c:formatCode>"$"#,##0.00</c:formatCode>
                <c:ptCount val="12"/>
                <c:pt idx="0">
                  <c:v>69.090454892068195</c:v>
                </c:pt>
                <c:pt idx="1">
                  <c:v>70.543107609298801</c:v>
                </c:pt>
                <c:pt idx="2">
                  <c:v>70.587278350463933</c:v>
                </c:pt>
                <c:pt idx="3">
                  <c:v>70.506368603670452</c:v>
                </c:pt>
                <c:pt idx="4">
                  <c:v>69.208334902117329</c:v>
                </c:pt>
                <c:pt idx="5">
                  <c:v>66.462997924324071</c:v>
                </c:pt>
                <c:pt idx="6">
                  <c:v>67.274887451914765</c:v>
                </c:pt>
                <c:pt idx="7">
                  <c:v>66.89596223398928</c:v>
                </c:pt>
                <c:pt idx="8">
                  <c:v>65.632516059371284</c:v>
                </c:pt>
                <c:pt idx="9">
                  <c:v>68.290243556309605</c:v>
                </c:pt>
                <c:pt idx="10">
                  <c:v>66.443000655316595</c:v>
                </c:pt>
                <c:pt idx="11">
                  <c:v>67.491830078942186</c:v>
                </c:pt>
              </c:numCache>
            </c:numRef>
          </c:val>
          <c:smooth val="0"/>
        </c:ser>
        <c:ser>
          <c:idx val="6"/>
          <c:order val="6"/>
          <c:tx>
            <c:v>PIN Debit 2017</c:v>
          </c:tx>
          <c:val>
            <c:numRef>
              <c:f>'FY2017'!$C$42:$C$53</c:f>
              <c:numCache>
                <c:formatCode>_("$"* #,##0.00_);_("$"* \(#,##0.00\);_("$"* "-"??_);_(@_)</c:formatCode>
                <c:ptCount val="12"/>
                <c:pt idx="0">
                  <c:v>68.127406932447343</c:v>
                </c:pt>
                <c:pt idx="1">
                  <c:v>68.462504965991585</c:v>
                </c:pt>
                <c:pt idx="2">
                  <c:v>70.913974537043202</c:v>
                </c:pt>
                <c:pt idx="3">
                  <c:v>67.77359477797981</c:v>
                </c:pt>
                <c:pt idx="4">
                  <c:v>67.631518200983564</c:v>
                </c:pt>
                <c:pt idx="5">
                  <c:v>65.782881243519924</c:v>
                </c:pt>
                <c:pt idx="6">
                  <c:v>67.322513636304336</c:v>
                </c:pt>
                <c:pt idx="7">
                  <c:v>65.105388645758438</c:v>
                </c:pt>
                <c:pt idx="8">
                  <c:v>65.353416100739281</c:v>
                </c:pt>
                <c:pt idx="9" formatCode="&quot;$&quot;#,##0.00">
                  <c:v>66.804132479557097</c:v>
                </c:pt>
                <c:pt idx="10" formatCode="&quot;$&quot;#,##0.00">
                  <c:v>0</c:v>
                </c:pt>
                <c:pt idx="11" formatCode="&quot;$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37792"/>
        <c:axId val="82751872"/>
      </c:lineChart>
      <c:dateAx>
        <c:axId val="827377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7518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751872"/>
        <c:scaling>
          <c:orientation val="minMax"/>
          <c:max val="8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69696969740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737792"/>
        <c:crosses val="autoZero"/>
        <c:crossBetween val="between"/>
        <c:majorUnit val="2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849565173919264E-2"/>
          <c:y val="0.82192330125400992"/>
          <c:w val="0.90077468293627394"/>
          <c:h val="0.178076655859194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FY2017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62"/>
          <c:w val="0.81174089068826905"/>
          <c:h val="0.40023728115914958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'FY2015'!$C$128:$C$139</c:f>
              <c:numCache>
                <c:formatCode>"$"#,##0.000</c:formatCode>
                <c:ptCount val="12"/>
                <c:pt idx="0">
                  <c:v>3.0683805010609494E-2</c:v>
                </c:pt>
                <c:pt idx="1">
                  <c:v>2.9644116859387976E-2</c:v>
                </c:pt>
                <c:pt idx="2">
                  <c:v>2.9862247512873384E-2</c:v>
                </c:pt>
                <c:pt idx="3">
                  <c:v>2.9760881741564868E-2</c:v>
                </c:pt>
                <c:pt idx="4">
                  <c:v>2.5821717278750111E-2</c:v>
                </c:pt>
                <c:pt idx="5">
                  <c:v>2.8686865465472403E-2</c:v>
                </c:pt>
                <c:pt idx="6">
                  <c:v>2.7776315202916294E-2</c:v>
                </c:pt>
                <c:pt idx="7">
                  <c:v>2.7300324506946461E-2</c:v>
                </c:pt>
                <c:pt idx="8">
                  <c:v>2.8182736525284621E-2</c:v>
                </c:pt>
                <c:pt idx="9">
                  <c:v>2.9201145059207664E-2</c:v>
                </c:pt>
                <c:pt idx="10">
                  <c:v>2.6310239314273051E-2</c:v>
                </c:pt>
                <c:pt idx="11">
                  <c:v>2.9020523045950857E-2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'FY2014'!$C$128:$C$139</c:f>
              <c:numCache>
                <c:formatCode>"$"#,##0.000</c:formatCode>
                <c:ptCount val="12"/>
                <c:pt idx="0">
                  <c:v>3.0445891448038904E-2</c:v>
                </c:pt>
                <c:pt idx="1">
                  <c:v>3.8960893213560631E-2</c:v>
                </c:pt>
                <c:pt idx="2">
                  <c:v>3.1369116254324078E-2</c:v>
                </c:pt>
                <c:pt idx="3">
                  <c:v>3.0668951925170804E-2</c:v>
                </c:pt>
                <c:pt idx="4">
                  <c:v>3.391168731500583E-2</c:v>
                </c:pt>
                <c:pt idx="5">
                  <c:v>3.0097397870558446E-2</c:v>
                </c:pt>
                <c:pt idx="6">
                  <c:v>3.1712016313437306E-2</c:v>
                </c:pt>
                <c:pt idx="7">
                  <c:v>3.1217377903420739E-2</c:v>
                </c:pt>
                <c:pt idx="8">
                  <c:v>3.0707062467591507E-2</c:v>
                </c:pt>
                <c:pt idx="9">
                  <c:v>3.1853879669203909E-2</c:v>
                </c:pt>
                <c:pt idx="10">
                  <c:v>2.8901459465344542E-2</c:v>
                </c:pt>
                <c:pt idx="11">
                  <c:v>3.118600235927646E-2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'FY2013'!$C$128:$C$139</c:f>
              <c:numCache>
                <c:formatCode>"$"#,##0.000</c:formatCode>
                <c:ptCount val="12"/>
                <c:pt idx="0">
                  <c:v>3.4924660237043437E-2</c:v>
                </c:pt>
                <c:pt idx="1">
                  <c:v>3.503222953628124E-2</c:v>
                </c:pt>
                <c:pt idx="2">
                  <c:v>3.4534808001367989E-2</c:v>
                </c:pt>
                <c:pt idx="3">
                  <c:v>3.4563241102860673E-2</c:v>
                </c:pt>
                <c:pt idx="4">
                  <c:v>3.5088209578171131E-2</c:v>
                </c:pt>
                <c:pt idx="5">
                  <c:v>3.4510003150898208E-2</c:v>
                </c:pt>
                <c:pt idx="6">
                  <c:v>3.294305362226839E-2</c:v>
                </c:pt>
                <c:pt idx="7">
                  <c:v>3.3103235169285219E-2</c:v>
                </c:pt>
                <c:pt idx="8">
                  <c:v>3.0696698233616846E-2</c:v>
                </c:pt>
                <c:pt idx="9">
                  <c:v>3.1186492324859462E-2</c:v>
                </c:pt>
                <c:pt idx="10">
                  <c:v>3.646699419088606E-2</c:v>
                </c:pt>
                <c:pt idx="11">
                  <c:v>2.9084935223012785E-2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'FY2012'!$C$136:$C$147</c:f>
              <c:numCache>
                <c:formatCode>"$"#,##0.000</c:formatCode>
                <c:ptCount val="12"/>
                <c:pt idx="0">
                  <c:v>3.5194163996107787E-2</c:v>
                </c:pt>
                <c:pt idx="1">
                  <c:v>3.6547658053103262E-2</c:v>
                </c:pt>
                <c:pt idx="2">
                  <c:v>3.6635089924562415E-2</c:v>
                </c:pt>
                <c:pt idx="3">
                  <c:v>3.6152357029197946E-2</c:v>
                </c:pt>
                <c:pt idx="4">
                  <c:v>3.5932402078226171E-2</c:v>
                </c:pt>
                <c:pt idx="5">
                  <c:v>3.6569524422945053E-2</c:v>
                </c:pt>
                <c:pt idx="6">
                  <c:v>3.5647073148542457E-2</c:v>
                </c:pt>
                <c:pt idx="7">
                  <c:v>3.5495024508114141E-2</c:v>
                </c:pt>
                <c:pt idx="8">
                  <c:v>3.5061107000456983E-2</c:v>
                </c:pt>
                <c:pt idx="9">
                  <c:v>3.4092608089641499E-2</c:v>
                </c:pt>
                <c:pt idx="10">
                  <c:v>3.5175054498354681E-2</c:v>
                </c:pt>
                <c:pt idx="11">
                  <c:v>3.3637815988707791E-2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'FY2011'!$C$137:$C$148</c:f>
              <c:numCache>
                <c:formatCode>"$"#,##0.00</c:formatCode>
                <c:ptCount val="12"/>
                <c:pt idx="4" formatCode="&quot;$&quot;#,##0.000">
                  <c:v>3.7642588727187475E-2</c:v>
                </c:pt>
                <c:pt idx="5" formatCode="&quot;$&quot;#,##0.000">
                  <c:v>3.8351881843550345E-2</c:v>
                </c:pt>
                <c:pt idx="6" formatCode="&quot;$&quot;#,##0.000">
                  <c:v>3.6900960989662487E-2</c:v>
                </c:pt>
                <c:pt idx="7" formatCode="&quot;$&quot;#,##0.000">
                  <c:v>3.5017458030748683E-2</c:v>
                </c:pt>
                <c:pt idx="8" formatCode="&quot;$&quot;#,##0.000">
                  <c:v>3.6444893635092387E-2</c:v>
                </c:pt>
                <c:pt idx="9" formatCode="&quot;$&quot;#,##0.000">
                  <c:v>3.6197418252775476E-2</c:v>
                </c:pt>
                <c:pt idx="10" formatCode="&quot;$&quot;#,##0.000">
                  <c:v>3.6242875435007108E-2</c:v>
                </c:pt>
                <c:pt idx="11" formatCode="&quot;$&quot;#,##0.000">
                  <c:v>3.9573241657216082E-2</c:v>
                </c:pt>
              </c:numCache>
            </c:numRef>
          </c:val>
          <c:smooth val="0"/>
        </c:ser>
        <c:ser>
          <c:idx val="5"/>
          <c:order val="5"/>
          <c:tx>
            <c:v>PIN Debit 2016</c:v>
          </c:tx>
          <c:val>
            <c:numRef>
              <c:f>'FY2016'!$C$135:$C$146</c:f>
              <c:numCache>
                <c:formatCode>"$"#,##0.000</c:formatCode>
                <c:ptCount val="12"/>
                <c:pt idx="0">
                  <c:v>2.7190802884366577E-2</c:v>
                </c:pt>
                <c:pt idx="1">
                  <c:v>2.6042697551472937E-2</c:v>
                </c:pt>
                <c:pt idx="2">
                  <c:v>2.818395048098785E-2</c:v>
                </c:pt>
                <c:pt idx="3">
                  <c:v>2.6212448659308208E-2</c:v>
                </c:pt>
                <c:pt idx="4">
                  <c:v>2.6915460067154437E-2</c:v>
                </c:pt>
                <c:pt idx="5">
                  <c:v>2.6911254445752871E-2</c:v>
                </c:pt>
                <c:pt idx="6">
                  <c:v>2.7871696313809834E-2</c:v>
                </c:pt>
                <c:pt idx="7">
                  <c:v>2.6373986895112604E-2</c:v>
                </c:pt>
                <c:pt idx="8">
                  <c:v>2.8458724457374161E-2</c:v>
                </c:pt>
                <c:pt idx="9">
                  <c:v>2.7047010702193851E-2</c:v>
                </c:pt>
                <c:pt idx="10">
                  <c:v>2.7043101583059656E-2</c:v>
                </c:pt>
                <c:pt idx="11">
                  <c:v>2.9648764051793227E-2</c:v>
                </c:pt>
              </c:numCache>
            </c:numRef>
          </c:val>
          <c:smooth val="0"/>
        </c:ser>
        <c:ser>
          <c:idx val="6"/>
          <c:order val="6"/>
          <c:tx>
            <c:v>PIN Debit 2017</c:v>
          </c:tx>
          <c:val>
            <c:numRef>
              <c:f>'FY2017'!$C$135:$C$147</c:f>
              <c:numCache>
                <c:formatCode>_("$"* #,##0.00_);_("$"* \(#,##0.00\);_("$"* "-"??_);_(@_)</c:formatCode>
                <c:ptCount val="13"/>
                <c:pt idx="0">
                  <c:v>2.434204187215264E-2</c:v>
                </c:pt>
                <c:pt idx="1">
                  <c:v>3.3065515060101178E-2</c:v>
                </c:pt>
                <c:pt idx="2">
                  <c:v>2.6093858406084001E-2</c:v>
                </c:pt>
                <c:pt idx="3">
                  <c:v>2.3576429890931928E-2</c:v>
                </c:pt>
                <c:pt idx="4">
                  <c:v>2.3633253401310512E-2</c:v>
                </c:pt>
                <c:pt idx="5">
                  <c:v>2.5463359231126421E-2</c:v>
                </c:pt>
                <c:pt idx="6">
                  <c:v>2.4894314564525462E-2</c:v>
                </c:pt>
                <c:pt idx="7">
                  <c:v>2.4279079279750499E-2</c:v>
                </c:pt>
                <c:pt idx="8">
                  <c:v>2.5467734156133851E-2</c:v>
                </c:pt>
                <c:pt idx="9" formatCode="&quot;$&quot;#,##0.000">
                  <c:v>2.386659660618802E-2</c:v>
                </c:pt>
                <c:pt idx="10" formatCode="&quot;$&quot;#,##0.000">
                  <c:v>0</c:v>
                </c:pt>
                <c:pt idx="11" formatCode="&quot;$&quot;#,##0.000">
                  <c:v>0</c:v>
                </c:pt>
                <c:pt idx="12" formatCode="&quot;$&quot;#,##0.0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048"/>
        <c:axId val="92355584"/>
      </c:lineChart>
      <c:dateAx>
        <c:axId val="923540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555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2355584"/>
        <c:scaling>
          <c:orientation val="minMax"/>
          <c:max val="4.0000000000000022E-2"/>
          <c:min val="2.400000000000001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54048"/>
        <c:crosses val="autoZero"/>
        <c:crossBetween val="between"/>
        <c:majorUnit val="2.0000000000000052E-3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1674088649418281E-2"/>
          <c:y val="0.84756456692913351"/>
          <c:w val="0.91754869685986407"/>
          <c:h val="0.152435501117915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Sales Dollars
FY2017 Trend</a:t>
            </a:r>
          </a:p>
        </c:rich>
      </c:tx>
      <c:layout>
        <c:manualLayout>
          <c:xMode val="edge"/>
          <c:yMode val="edge"/>
          <c:x val="0.31400000000000372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0000000000041"/>
          <c:y val="0.32089610704311111"/>
          <c:w val="0.72200000000000064"/>
          <c:h val="0.37313500818966283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'FY2015'!$B$9:$B$20</c:f>
              <c:numCache>
                <c:formatCode>_("$"* #,##0_);_("$"* \(#,##0\);_("$"* "-"??_);_(@_)</c:formatCode>
                <c:ptCount val="12"/>
                <c:pt idx="0">
                  <c:v>758973630</c:v>
                </c:pt>
                <c:pt idx="1">
                  <c:v>677167126.63999927</c:v>
                </c:pt>
                <c:pt idx="2">
                  <c:v>730514100.90999997</c:v>
                </c:pt>
                <c:pt idx="3">
                  <c:v>718958290.85000098</c:v>
                </c:pt>
                <c:pt idx="4">
                  <c:v>668596431.94000006</c:v>
                </c:pt>
                <c:pt idx="5">
                  <c:v>759367810.3299998</c:v>
                </c:pt>
                <c:pt idx="6">
                  <c:v>762861402.02999997</c:v>
                </c:pt>
                <c:pt idx="7">
                  <c:v>809506507.1700021</c:v>
                </c:pt>
                <c:pt idx="8">
                  <c:v>796770122.57000005</c:v>
                </c:pt>
                <c:pt idx="9">
                  <c:v>815864536.90999877</c:v>
                </c:pt>
                <c:pt idx="10">
                  <c:v>826734957.31999803</c:v>
                </c:pt>
                <c:pt idx="11">
                  <c:v>774204059.38000107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'FY2014'!$B$9:$B$20</c:f>
              <c:numCache>
                <c:formatCode>_("$"* #,##0_);_("$"* \(#,##0\);_("$"* "-"??_);_(@_)</c:formatCode>
                <c:ptCount val="12"/>
                <c:pt idx="0">
                  <c:v>689409353</c:v>
                </c:pt>
                <c:pt idx="1">
                  <c:v>693290007</c:v>
                </c:pt>
                <c:pt idx="2">
                  <c:v>673525486</c:v>
                </c:pt>
                <c:pt idx="3">
                  <c:v>682596248</c:v>
                </c:pt>
                <c:pt idx="4">
                  <c:v>647829362</c:v>
                </c:pt>
                <c:pt idx="5">
                  <c:v>723835475</c:v>
                </c:pt>
                <c:pt idx="6">
                  <c:v>735333649</c:v>
                </c:pt>
                <c:pt idx="7">
                  <c:v>790695800</c:v>
                </c:pt>
                <c:pt idx="8">
                  <c:v>764718191</c:v>
                </c:pt>
                <c:pt idx="9">
                  <c:v>814964719</c:v>
                </c:pt>
                <c:pt idx="10">
                  <c:v>843195944</c:v>
                </c:pt>
                <c:pt idx="11">
                  <c:v>744935941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'FY2013'!$B$9:$B$20</c:f>
              <c:numCache>
                <c:formatCode>_("$"* #,##0_);_("$"* \(#,##0\);_("$"* "-"??_);_(@_)</c:formatCode>
                <c:ptCount val="12"/>
                <c:pt idx="0">
                  <c:v>680250064.61000001</c:v>
                </c:pt>
                <c:pt idx="1">
                  <c:v>650197903.55999994</c:v>
                </c:pt>
                <c:pt idx="2">
                  <c:v>662760523.16999996</c:v>
                </c:pt>
                <c:pt idx="3">
                  <c:v>686130893</c:v>
                </c:pt>
                <c:pt idx="4">
                  <c:v>633172788.17999995</c:v>
                </c:pt>
                <c:pt idx="5">
                  <c:v>727835334</c:v>
                </c:pt>
                <c:pt idx="6">
                  <c:v>678295172</c:v>
                </c:pt>
                <c:pt idx="7">
                  <c:v>777536960</c:v>
                </c:pt>
                <c:pt idx="8">
                  <c:v>755631799</c:v>
                </c:pt>
                <c:pt idx="9">
                  <c:v>754715702.38</c:v>
                </c:pt>
                <c:pt idx="10">
                  <c:v>782383137</c:v>
                </c:pt>
                <c:pt idx="11">
                  <c:v>713017868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'FY2012'!$B$17:$B$28</c:f>
              <c:numCache>
                <c:formatCode>_("$"* #,##0_);_("$"* \(#,##0\);_("$"* "-"??_);_(@_)</c:formatCode>
                <c:ptCount val="12"/>
                <c:pt idx="0">
                  <c:v>628448001</c:v>
                </c:pt>
                <c:pt idx="1">
                  <c:v>621659635.08000004</c:v>
                </c:pt>
                <c:pt idx="2">
                  <c:v>656784254</c:v>
                </c:pt>
                <c:pt idx="3">
                  <c:v>610669972</c:v>
                </c:pt>
                <c:pt idx="4">
                  <c:v>626246437</c:v>
                </c:pt>
                <c:pt idx="5">
                  <c:v>691400416.17999995</c:v>
                </c:pt>
                <c:pt idx="6">
                  <c:v>645492676.69000006</c:v>
                </c:pt>
                <c:pt idx="7">
                  <c:v>718060180</c:v>
                </c:pt>
                <c:pt idx="8">
                  <c:v>742356437</c:v>
                </c:pt>
                <c:pt idx="9">
                  <c:v>710657823</c:v>
                </c:pt>
                <c:pt idx="10">
                  <c:v>753939134.65999997</c:v>
                </c:pt>
                <c:pt idx="11">
                  <c:v>684600825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'FY2011'!$B$18:$B$29</c:f>
              <c:numCache>
                <c:formatCode>_("$"* #,##0_);_("$"* \(#,##0\);_("$"* "-"??_);_(@_)</c:formatCode>
                <c:ptCount val="12"/>
                <c:pt idx="0">
                  <c:v>643239706.91999936</c:v>
                </c:pt>
                <c:pt idx="1">
                  <c:v>563623696.85000002</c:v>
                </c:pt>
                <c:pt idx="2">
                  <c:v>644106174</c:v>
                </c:pt>
                <c:pt idx="3">
                  <c:v>572836045</c:v>
                </c:pt>
                <c:pt idx="4">
                  <c:v>568963267</c:v>
                </c:pt>
                <c:pt idx="5">
                  <c:v>660066737</c:v>
                </c:pt>
                <c:pt idx="6">
                  <c:v>664490173</c:v>
                </c:pt>
                <c:pt idx="7">
                  <c:v>677854809</c:v>
                </c:pt>
                <c:pt idx="8">
                  <c:v>714424682</c:v>
                </c:pt>
                <c:pt idx="9">
                  <c:v>728432697</c:v>
                </c:pt>
                <c:pt idx="10">
                  <c:v>677421927</c:v>
                </c:pt>
                <c:pt idx="11">
                  <c:v>667170972</c:v>
                </c:pt>
              </c:numCache>
            </c:numRef>
          </c:val>
          <c:smooth val="0"/>
        </c:ser>
        <c:ser>
          <c:idx val="5"/>
          <c:order val="5"/>
          <c:tx>
            <c:v>Credit 2016</c:v>
          </c:tx>
          <c:val>
            <c:numRef>
              <c:f>'FY2016'!$B$9:$B$20</c:f>
              <c:numCache>
                <c:formatCode>_("$"* #,##0.00_);_("$"* \(#,##0.00\);_("$"* "-"??_);_(@_)</c:formatCode>
                <c:ptCount val="12"/>
                <c:pt idx="0">
                  <c:v>791303504.14999843</c:v>
                </c:pt>
                <c:pt idx="1">
                  <c:v>681843150.83000052</c:v>
                </c:pt>
                <c:pt idx="2">
                  <c:v>773462416.80999935</c:v>
                </c:pt>
                <c:pt idx="3">
                  <c:v>737069246.13</c:v>
                </c:pt>
                <c:pt idx="4">
                  <c:v>712334136.98000002</c:v>
                </c:pt>
                <c:pt idx="5">
                  <c:v>802621628.05999994</c:v>
                </c:pt>
                <c:pt idx="6">
                  <c:v>834890940.28999996</c:v>
                </c:pt>
                <c:pt idx="7">
                  <c:v>823494386.89000058</c:v>
                </c:pt>
                <c:pt idx="8">
                  <c:v>868720338.45000005</c:v>
                </c:pt>
                <c:pt idx="9">
                  <c:v>861984681.65999985</c:v>
                </c:pt>
                <c:pt idx="10">
                  <c:v>840139308.94000006</c:v>
                </c:pt>
                <c:pt idx="11">
                  <c:v>842956569</c:v>
                </c:pt>
              </c:numCache>
            </c:numRef>
          </c:val>
          <c:smooth val="0"/>
        </c:ser>
        <c:ser>
          <c:idx val="6"/>
          <c:order val="6"/>
          <c:tx>
            <c:v>Credit 2017</c:v>
          </c:tx>
          <c:val>
            <c:numRef>
              <c:f>'FY2017'!$B$9:$B$20</c:f>
              <c:numCache>
                <c:formatCode>_("$"* #,##0.00_);_("$"* \(#,##0.00\);_("$"* "-"??_);_(@_)</c:formatCode>
                <c:ptCount val="12"/>
                <c:pt idx="0">
                  <c:v>793286301.62</c:v>
                </c:pt>
                <c:pt idx="1">
                  <c:v>807129160.13999939</c:v>
                </c:pt>
                <c:pt idx="2">
                  <c:v>846239245.78000057</c:v>
                </c:pt>
                <c:pt idx="3">
                  <c:v>750873681.9899987</c:v>
                </c:pt>
                <c:pt idx="4">
                  <c:v>725182331.39000249</c:v>
                </c:pt>
                <c:pt idx="5">
                  <c:v>869453745.50000095</c:v>
                </c:pt>
                <c:pt idx="6">
                  <c:v>807187526.05000067</c:v>
                </c:pt>
                <c:pt idx="7">
                  <c:v>831607897.24999845</c:v>
                </c:pt>
                <c:pt idx="8">
                  <c:v>869146266.43000126</c:v>
                </c:pt>
                <c:pt idx="9">
                  <c:v>840299778.26000071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45440"/>
        <c:axId val="78846976"/>
      </c:lineChart>
      <c:dateAx>
        <c:axId val="788454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469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8846976"/>
        <c:scaling>
          <c:orientation val="minMax"/>
          <c:min val="550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6.3590232285929823E-3"/>
              <c:y val="0.488806764020831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45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198647921995161E-2"/>
          <c:y val="0.80565286076034115"/>
          <c:w val="0.85094538755516347"/>
          <c:h val="0.194346938965047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PCI Assist
FY2017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7"/>
          <c:y val="0.30526420389325265"/>
          <c:w val="0.81274979452289986"/>
          <c:h val="0.40701893852432336"/>
        </c:manualLayout>
      </c:layout>
      <c:lineChart>
        <c:grouping val="standard"/>
        <c:varyColors val="0"/>
        <c:ser>
          <c:idx val="3"/>
          <c:order val="0"/>
          <c:tx>
            <c:v>Compliant Agencies 2015</c:v>
          </c:tx>
          <c:spPr>
            <a:ln>
              <a:solidFill>
                <a:srgbClr val="00B0F0"/>
              </a:solidFill>
            </a:ln>
          </c:spPr>
          <c:marker>
            <c:symbol val="star"/>
            <c:size val="7"/>
            <c:spPr>
              <a:ln>
                <a:solidFill>
                  <a:srgbClr val="00B0F0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'FY2015'!$D$223:$D$234</c:f>
              <c:numCache>
                <c:formatCode>#,##0</c:formatCode>
                <c:ptCount val="12"/>
                <c:pt idx="0">
                  <c:v>280</c:v>
                </c:pt>
                <c:pt idx="1">
                  <c:v>274</c:v>
                </c:pt>
                <c:pt idx="2">
                  <c:v>272</c:v>
                </c:pt>
                <c:pt idx="3">
                  <c:v>258</c:v>
                </c:pt>
                <c:pt idx="4">
                  <c:v>255</c:v>
                </c:pt>
                <c:pt idx="5">
                  <c:v>260</c:v>
                </c:pt>
                <c:pt idx="6">
                  <c:v>257</c:v>
                </c:pt>
                <c:pt idx="7">
                  <c:v>251</c:v>
                </c:pt>
                <c:pt idx="8">
                  <c:v>252</c:v>
                </c:pt>
                <c:pt idx="9">
                  <c:v>254</c:v>
                </c:pt>
                <c:pt idx="10">
                  <c:v>249</c:v>
                </c:pt>
                <c:pt idx="11">
                  <c:v>245</c:v>
                </c:pt>
              </c:numCache>
            </c:numRef>
          </c:val>
          <c:smooth val="0"/>
        </c:ser>
        <c:ser>
          <c:idx val="0"/>
          <c:order val="1"/>
          <c:tx>
            <c:v>Compliant Agencies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'FY2014'!$D$223:$D$234</c:f>
              <c:numCache>
                <c:formatCode>#,##0</c:formatCode>
                <c:ptCount val="12"/>
                <c:pt idx="0">
                  <c:v>269</c:v>
                </c:pt>
                <c:pt idx="1">
                  <c:v>270</c:v>
                </c:pt>
                <c:pt idx="2">
                  <c:v>269</c:v>
                </c:pt>
                <c:pt idx="3">
                  <c:v>268</c:v>
                </c:pt>
                <c:pt idx="4">
                  <c:v>276</c:v>
                </c:pt>
                <c:pt idx="5">
                  <c:v>274</c:v>
                </c:pt>
                <c:pt idx="6">
                  <c:v>280</c:v>
                </c:pt>
                <c:pt idx="7">
                  <c:v>287</c:v>
                </c:pt>
                <c:pt idx="8">
                  <c:v>287</c:v>
                </c:pt>
                <c:pt idx="9">
                  <c:v>285</c:v>
                </c:pt>
                <c:pt idx="10">
                  <c:v>285</c:v>
                </c:pt>
                <c:pt idx="11">
                  <c:v>277</c:v>
                </c:pt>
              </c:numCache>
            </c:numRef>
          </c:val>
          <c:smooth val="0"/>
        </c:ser>
        <c:ser>
          <c:idx val="2"/>
          <c:order val="2"/>
          <c:tx>
            <c:v>Compliant Agencies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'FY2013'!$D$223:$D$234</c:f>
              <c:numCache>
                <c:formatCode>#,##0</c:formatCode>
                <c:ptCount val="12"/>
                <c:pt idx="0">
                  <c:v>224</c:v>
                </c:pt>
                <c:pt idx="1">
                  <c:v>240</c:v>
                </c:pt>
                <c:pt idx="2">
                  <c:v>243</c:v>
                </c:pt>
                <c:pt idx="3">
                  <c:v>240</c:v>
                </c:pt>
                <c:pt idx="4">
                  <c:v>240</c:v>
                </c:pt>
                <c:pt idx="5">
                  <c:v>248</c:v>
                </c:pt>
                <c:pt idx="6">
                  <c:v>249</c:v>
                </c:pt>
                <c:pt idx="7">
                  <c:v>256</c:v>
                </c:pt>
                <c:pt idx="8">
                  <c:v>268</c:v>
                </c:pt>
                <c:pt idx="9">
                  <c:v>274</c:v>
                </c:pt>
                <c:pt idx="10">
                  <c:v>276</c:v>
                </c:pt>
                <c:pt idx="11">
                  <c:v>275</c:v>
                </c:pt>
              </c:numCache>
            </c:numRef>
          </c:val>
          <c:smooth val="0"/>
        </c:ser>
        <c:ser>
          <c:idx val="1"/>
          <c:order val="3"/>
          <c:tx>
            <c:v>Compliant Agencies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'FY2012'!$D$211:$D$222</c:f>
              <c:numCache>
                <c:formatCode>#,##0</c:formatCode>
                <c:ptCount val="12"/>
                <c:pt idx="0">
                  <c:v>14</c:v>
                </c:pt>
                <c:pt idx="1">
                  <c:v>27</c:v>
                </c:pt>
                <c:pt idx="2">
                  <c:v>38</c:v>
                </c:pt>
                <c:pt idx="3">
                  <c:v>48</c:v>
                </c:pt>
                <c:pt idx="4">
                  <c:v>66</c:v>
                </c:pt>
                <c:pt idx="5">
                  <c:v>125</c:v>
                </c:pt>
                <c:pt idx="6">
                  <c:v>173</c:v>
                </c:pt>
                <c:pt idx="7">
                  <c:v>178</c:v>
                </c:pt>
                <c:pt idx="8">
                  <c:v>197</c:v>
                </c:pt>
                <c:pt idx="9">
                  <c:v>197</c:v>
                </c:pt>
                <c:pt idx="10">
                  <c:v>206</c:v>
                </c:pt>
                <c:pt idx="11">
                  <c:v>207</c:v>
                </c:pt>
              </c:numCache>
            </c:numRef>
          </c:val>
          <c:smooth val="0"/>
        </c:ser>
        <c:ser>
          <c:idx val="4"/>
          <c:order val="4"/>
          <c:tx>
            <c:v>Compliant Agencies 2016</c:v>
          </c:tx>
          <c:val>
            <c:numRef>
              <c:f>'FY2016'!$D$255:$D$266</c:f>
              <c:numCache>
                <c:formatCode>#,##0</c:formatCode>
                <c:ptCount val="12"/>
                <c:pt idx="0">
                  <c:v>248</c:v>
                </c:pt>
                <c:pt idx="1">
                  <c:v>245</c:v>
                </c:pt>
                <c:pt idx="2">
                  <c:v>239</c:v>
                </c:pt>
                <c:pt idx="3">
                  <c:v>237</c:v>
                </c:pt>
                <c:pt idx="4">
                  <c:v>227</c:v>
                </c:pt>
                <c:pt idx="5">
                  <c:v>223</c:v>
                </c:pt>
                <c:pt idx="6">
                  <c:v>230</c:v>
                </c:pt>
                <c:pt idx="7">
                  <c:v>238</c:v>
                </c:pt>
                <c:pt idx="8">
                  <c:v>250</c:v>
                </c:pt>
                <c:pt idx="9">
                  <c:v>247</c:v>
                </c:pt>
                <c:pt idx="10">
                  <c:v>240</c:v>
                </c:pt>
                <c:pt idx="11">
                  <c:v>243</c:v>
                </c:pt>
              </c:numCache>
            </c:numRef>
          </c:val>
          <c:smooth val="0"/>
        </c:ser>
        <c:ser>
          <c:idx val="5"/>
          <c:order val="5"/>
          <c:tx>
            <c:v>Compliant Agencies 2017</c:v>
          </c:tx>
          <c:val>
            <c:numRef>
              <c:f>'FY2017'!$D$255:$D$265</c:f>
              <c:numCache>
                <c:formatCode>#,##0</c:formatCode>
                <c:ptCount val="11"/>
                <c:pt idx="0">
                  <c:v>239</c:v>
                </c:pt>
                <c:pt idx="1">
                  <c:v>239</c:v>
                </c:pt>
                <c:pt idx="2">
                  <c:v>239</c:v>
                </c:pt>
                <c:pt idx="3">
                  <c:v>238</c:v>
                </c:pt>
                <c:pt idx="4">
                  <c:v>235</c:v>
                </c:pt>
                <c:pt idx="5">
                  <c:v>223</c:v>
                </c:pt>
                <c:pt idx="6">
                  <c:v>213</c:v>
                </c:pt>
                <c:pt idx="7">
                  <c:v>214</c:v>
                </c:pt>
                <c:pt idx="8">
                  <c:v>255</c:v>
                </c:pt>
                <c:pt idx="9">
                  <c:v>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6912"/>
        <c:axId val="92408448"/>
      </c:lineChart>
      <c:dateAx>
        <c:axId val="924069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4084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240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406912"/>
        <c:crosses val="autoZero"/>
        <c:crossBetween val="between"/>
        <c:maj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159122914133277E-2"/>
          <c:y val="0.86223140714640334"/>
          <c:w val="0.84780878824774841"/>
          <c:h val="0.13776872704972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landscape" horizontalDpi="-3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Mobile Device Sales Volume
FY2017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36"/>
          <c:y val="0.30526420389325304"/>
          <c:w val="0.81274979452290042"/>
          <c:h val="0.40701893852432336"/>
        </c:manualLayout>
      </c:layout>
      <c:lineChart>
        <c:grouping val="standard"/>
        <c:varyColors val="0"/>
        <c:ser>
          <c:idx val="2"/>
          <c:order val="0"/>
          <c:tx>
            <c:v>Mobile Sales 2015</c:v>
          </c:tx>
          <c:spPr>
            <a:ln>
              <a:solidFill>
                <a:srgbClr val="00B0F0"/>
              </a:solidFill>
            </a:ln>
          </c:spPr>
          <c:marker>
            <c:symbol val="star"/>
            <c:size val="7"/>
            <c:spPr>
              <a:noFill/>
              <a:ln>
                <a:solidFill>
                  <a:srgbClr val="00B0F0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'FY2015'!$D$203:$D$214</c:f>
              <c:numCache>
                <c:formatCode>"$"#,##0</c:formatCode>
                <c:ptCount val="12"/>
                <c:pt idx="0">
                  <c:v>50</c:v>
                </c:pt>
                <c:pt idx="1">
                  <c:v>405.02</c:v>
                </c:pt>
                <c:pt idx="2">
                  <c:v>0</c:v>
                </c:pt>
                <c:pt idx="3">
                  <c:v>50</c:v>
                </c:pt>
                <c:pt idx="4">
                  <c:v>18.75</c:v>
                </c:pt>
                <c:pt idx="5">
                  <c:v>1176.94</c:v>
                </c:pt>
                <c:pt idx="6">
                  <c:v>5854.5</c:v>
                </c:pt>
                <c:pt idx="7">
                  <c:v>147.44999999999999</c:v>
                </c:pt>
                <c:pt idx="8">
                  <c:v>50</c:v>
                </c:pt>
                <c:pt idx="9">
                  <c:v>100</c:v>
                </c:pt>
                <c:pt idx="10">
                  <c:v>0</c:v>
                </c:pt>
                <c:pt idx="11">
                  <c:v>50</c:v>
                </c:pt>
              </c:numCache>
            </c:numRef>
          </c:val>
          <c:smooth val="0"/>
        </c:ser>
        <c:ser>
          <c:idx val="0"/>
          <c:order val="1"/>
          <c:tx>
            <c:v>Mobile Sales 2014</c:v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'FY2014'!$D$203:$D$214</c:f>
              <c:numCache>
                <c:formatCode>"$"#,##0</c:formatCode>
                <c:ptCount val="12"/>
                <c:pt idx="0">
                  <c:v>275</c:v>
                </c:pt>
                <c:pt idx="1">
                  <c:v>287</c:v>
                </c:pt>
                <c:pt idx="2">
                  <c:v>0</c:v>
                </c:pt>
                <c:pt idx="3">
                  <c:v>1176.94</c:v>
                </c:pt>
                <c:pt idx="4">
                  <c:v>1175</c:v>
                </c:pt>
                <c:pt idx="5">
                  <c:v>5308.5</c:v>
                </c:pt>
                <c:pt idx="6">
                  <c:v>0</c:v>
                </c:pt>
                <c:pt idx="7">
                  <c:v>377.75</c:v>
                </c:pt>
                <c:pt idx="8">
                  <c:v>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Mobile Sales 2013</c:v>
          </c:tx>
          <c:spPr>
            <a:ln>
              <a:solidFill>
                <a:schemeClr val="accent4"/>
              </a:solidFill>
            </a:ln>
          </c:spPr>
          <c:marker>
            <c:symbol val="x"/>
            <c:size val="7"/>
            <c:spPr>
              <a:noFill/>
              <a:ln>
                <a:solidFill>
                  <a:schemeClr val="accent4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'FY2013'!$D$203:$D$214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167</c:v>
                </c:pt>
                <c:pt idx="7">
                  <c:v>751</c:v>
                </c:pt>
                <c:pt idx="8">
                  <c:v>2</c:v>
                </c:pt>
                <c:pt idx="9">
                  <c:v>492.5</c:v>
                </c:pt>
                <c:pt idx="10">
                  <c:v>200</c:v>
                </c:pt>
                <c:pt idx="11">
                  <c:v>160</c:v>
                </c:pt>
              </c:numCache>
            </c:numRef>
          </c:val>
          <c:smooth val="0"/>
        </c:ser>
        <c:ser>
          <c:idx val="3"/>
          <c:order val="3"/>
          <c:tx>
            <c:v>Mobile Sales 2016</c:v>
          </c:tx>
          <c:val>
            <c:numRef>
              <c:f>'FY2016'!$D$235:$D$246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0</c:v>
                </c:pt>
                <c:pt idx="4">
                  <c:v>0</c:v>
                </c:pt>
                <c:pt idx="5">
                  <c:v>4497.5</c:v>
                </c:pt>
                <c:pt idx="6">
                  <c:v>0</c:v>
                </c:pt>
                <c:pt idx="7">
                  <c:v>260</c:v>
                </c:pt>
                <c:pt idx="8">
                  <c:v>0</c:v>
                </c:pt>
                <c:pt idx="9">
                  <c:v>98</c:v>
                </c:pt>
                <c:pt idx="10">
                  <c:v>0</c:v>
                </c:pt>
                <c:pt idx="11">
                  <c:v>752.36</c:v>
                </c:pt>
              </c:numCache>
            </c:numRef>
          </c:val>
          <c:smooth val="0"/>
        </c:ser>
        <c:ser>
          <c:idx val="4"/>
          <c:order val="4"/>
          <c:tx>
            <c:v>Mobile Sales 2017</c:v>
          </c:tx>
          <c:val>
            <c:numRef>
              <c:f>'FY2017'!$D$235:$D$246</c:f>
              <c:numCache>
                <c:formatCode>"$"#,##0</c:formatCode>
                <c:ptCount val="12"/>
                <c:pt idx="0">
                  <c:v>602.36</c:v>
                </c:pt>
                <c:pt idx="1">
                  <c:v>702</c:v>
                </c:pt>
                <c:pt idx="2">
                  <c:v>977.36</c:v>
                </c:pt>
                <c:pt idx="3">
                  <c:v>882.86</c:v>
                </c:pt>
                <c:pt idx="4">
                  <c:v>652.36</c:v>
                </c:pt>
                <c:pt idx="5">
                  <c:v>2657.75</c:v>
                </c:pt>
                <c:pt idx="6">
                  <c:v>150</c:v>
                </c:pt>
                <c:pt idx="7">
                  <c:v>417.5</c:v>
                </c:pt>
                <c:pt idx="8">
                  <c:v>250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81152"/>
        <c:axId val="92091136"/>
      </c:lineChart>
      <c:dateAx>
        <c:axId val="920811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0911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209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081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69344778087458"/>
          <c:y val="0.86223140714640389"/>
          <c:w val="0.82110721466521397"/>
          <c:h val="0.13776872704972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 horizontalDpi="-3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Level 1, 2,</a:t>
            </a:r>
            <a:r>
              <a:rPr lang="en-US" baseline="0"/>
              <a:t> and 3 PCI Compliance</a:t>
            </a:r>
            <a:r>
              <a:rPr lang="en-US"/>
              <a:t>
FY2017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3"/>
          <c:y val="0.30526420389325287"/>
          <c:w val="0.81274979452290019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strRef>
              <c:f>'FY2015'!$D$238</c:f>
              <c:strCache>
                <c:ptCount val="1"/>
                <c:pt idx="0">
                  <c:v>Level 1 % Compliant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'FY2015'!$D$239:$D$250</c:f>
              <c:numCache>
                <c:formatCode>0%</c:formatCode>
                <c:ptCount val="1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'FY2015'!$H$238</c:f>
              <c:strCache>
                <c:ptCount val="1"/>
                <c:pt idx="0">
                  <c:v>Level 2 % Compliant </c:v>
                </c:pt>
              </c:strCache>
            </c:strRef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'FY2015'!$H$239:$H$250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'FY2015'!$K$238</c:f>
              <c:strCache>
                <c:ptCount val="1"/>
                <c:pt idx="0">
                  <c:v>Level 3 % Compliant </c:v>
                </c:pt>
              </c:strCache>
            </c:strRef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'FY2015'!$K$239:$K$250</c:f>
              <c:numCache>
                <c:formatCode>0%</c:formatCode>
                <c:ptCount val="12"/>
                <c:pt idx="0">
                  <c:v>0.7142857142857143</c:v>
                </c:pt>
                <c:pt idx="1">
                  <c:v>0.7142857142857143</c:v>
                </c:pt>
                <c:pt idx="2">
                  <c:v>0.6785714285714286</c:v>
                </c:pt>
                <c:pt idx="3">
                  <c:v>0.7142857142857143</c:v>
                </c:pt>
                <c:pt idx="4">
                  <c:v>0.73333333333333328</c:v>
                </c:pt>
                <c:pt idx="5">
                  <c:v>0.66666666666666663</c:v>
                </c:pt>
                <c:pt idx="6">
                  <c:v>0.56666666666666665</c:v>
                </c:pt>
                <c:pt idx="7">
                  <c:v>0.6</c:v>
                </c:pt>
                <c:pt idx="8">
                  <c:v>0.66666666666666663</c:v>
                </c:pt>
                <c:pt idx="9">
                  <c:v>0.66666666666666663</c:v>
                </c:pt>
                <c:pt idx="10">
                  <c:v>0.56666666666666665</c:v>
                </c:pt>
                <c:pt idx="11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21344"/>
        <c:axId val="92135424"/>
      </c:lineChart>
      <c:dateAx>
        <c:axId val="921213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354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2135424"/>
        <c:scaling>
          <c:orientation val="minMax"/>
          <c:max val="1"/>
          <c:min val="0.3000000000000003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21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38582677165317"/>
          <c:y val="0.86223140714640356"/>
          <c:w val="0.66472267543134056"/>
          <c:h val="8.4044494438195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66" r="0.75000000000001166" t="1" header="0.5" footer="0.5"/>
    <c:pageSetup orientation="landscape" horizontalDpi="-3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FY2017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51"/>
          <c:w val="0.81174089068826882"/>
          <c:h val="0.40023728115914958"/>
        </c:manualLayout>
      </c:layout>
      <c:lineChart>
        <c:grouping val="standard"/>
        <c:varyColors val="0"/>
        <c:ser>
          <c:idx val="5"/>
          <c:order val="0"/>
          <c:tx>
            <c:v>FY2016</c:v>
          </c:tx>
          <c:cat>
            <c:numRef>
              <c:f>'FY2016'!$A$152:$A$163</c:f>
              <c:numCache>
                <c:formatCode>mmm\-yy</c:formatCode>
                <c:ptCount val="12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</c:numCache>
            </c:numRef>
          </c:cat>
          <c:val>
            <c:numRef>
              <c:f>'FY2016'!$B$152:$B$163</c:f>
              <c:numCache>
                <c:formatCode>_("$"* #,##0.000_);_("$"* \(#,##0.000\);_("$"* "-"??_);_(@_)</c:formatCode>
                <c:ptCount val="12"/>
                <c:pt idx="0">
                  <c:v>1.8660000000000001</c:v>
                </c:pt>
                <c:pt idx="1">
                  <c:v>1.865</c:v>
                </c:pt>
                <c:pt idx="2">
                  <c:v>1.9750000000000001</c:v>
                </c:pt>
                <c:pt idx="3">
                  <c:v>1.853</c:v>
                </c:pt>
                <c:pt idx="4">
                  <c:v>1.764</c:v>
                </c:pt>
                <c:pt idx="5">
                  <c:v>1.7509999999999999</c:v>
                </c:pt>
                <c:pt idx="6">
                  <c:v>1.881</c:v>
                </c:pt>
                <c:pt idx="7">
                  <c:v>1.8169999999999999</c:v>
                </c:pt>
                <c:pt idx="8">
                  <c:v>1.855</c:v>
                </c:pt>
                <c:pt idx="9">
                  <c:v>1.8188429403826962</c:v>
                </c:pt>
                <c:pt idx="10">
                  <c:v>1.8173291630913617</c:v>
                </c:pt>
                <c:pt idx="11">
                  <c:v>1.9334447146675873</c:v>
                </c:pt>
              </c:numCache>
            </c:numRef>
          </c:val>
          <c:smooth val="0"/>
        </c:ser>
        <c:ser>
          <c:idx val="0"/>
          <c:order val="1"/>
          <c:tx>
            <c:v>FY2017</c:v>
          </c:tx>
          <c:val>
            <c:numRef>
              <c:f>'FY2017'!$B$152:$B$164</c:f>
              <c:numCache>
                <c:formatCode>_("$"* #,##0.00_);_("$"* \(#,##0.00\);_("$"* "-"??_);_(@_)</c:formatCode>
                <c:ptCount val="13"/>
                <c:pt idx="0">
                  <c:v>1.9094696738522836</c:v>
                </c:pt>
                <c:pt idx="1">
                  <c:v>2.1267421108395217</c:v>
                </c:pt>
                <c:pt idx="2">
                  <c:v>2.095325710585842</c:v>
                </c:pt>
                <c:pt idx="3">
                  <c:v>1.8829596269269535</c:v>
                </c:pt>
                <c:pt idx="4">
                  <c:v>1.8432699719295</c:v>
                </c:pt>
                <c:pt idx="5">
                  <c:v>1.869057566851684</c:v>
                </c:pt>
                <c:pt idx="6">
                  <c:v>1.8679680332040685</c:v>
                </c:pt>
                <c:pt idx="7">
                  <c:v>1.847163518828622</c:v>
                </c:pt>
                <c:pt idx="8">
                  <c:v>1.8398365049370877</c:v>
                </c:pt>
                <c:pt idx="9">
                  <c:v>1.7771889389297282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&quot;$&quot;#,##0.0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56672"/>
        <c:axId val="92158208"/>
      </c:lineChart>
      <c:dateAx>
        <c:axId val="921566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582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2158208"/>
        <c:scaling>
          <c:orientation val="minMax"/>
          <c:min val="1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0_);_(&quot;$&quot;* \(#,##0.0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56672"/>
        <c:crosses val="autoZero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602919489411858E-2"/>
          <c:y val="0.84756456692913351"/>
          <c:w val="0.13385354141656663"/>
          <c:h val="0.13992827629219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FY2017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62"/>
          <c:w val="0.81174089068826905"/>
          <c:h val="0.40023728115914958"/>
        </c:manualLayout>
      </c:layout>
      <c:lineChart>
        <c:grouping val="standard"/>
        <c:varyColors val="0"/>
        <c:ser>
          <c:idx val="5"/>
          <c:order val="0"/>
          <c:tx>
            <c:v>FY2016</c:v>
          </c:tx>
          <c:cat>
            <c:numRef>
              <c:f>'FY2016'!$A$152:$A$163</c:f>
              <c:numCache>
                <c:formatCode>mmm\-yy</c:formatCode>
                <c:ptCount val="12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</c:numCache>
            </c:numRef>
          </c:cat>
          <c:val>
            <c:numRef>
              <c:f>'FY2016'!$C$152:$C$163</c:f>
              <c:numCache>
                <c:formatCode>_("$"* #,##0.000_);_("$"* \(#,##0.000\);_("$"* "-"??_);_(@_)</c:formatCode>
                <c:ptCount val="12"/>
                <c:pt idx="0">
                  <c:v>0.3</c:v>
                </c:pt>
                <c:pt idx="1">
                  <c:v>0.28899999999999998</c:v>
                </c:pt>
                <c:pt idx="2">
                  <c:v>0.308</c:v>
                </c:pt>
                <c:pt idx="3">
                  <c:v>0.29199999999999998</c:v>
                </c:pt>
                <c:pt idx="4">
                  <c:v>0.29299999999999998</c:v>
                </c:pt>
                <c:pt idx="5">
                  <c:v>0.3</c:v>
                </c:pt>
                <c:pt idx="6">
                  <c:v>0.29699999999999999</c:v>
                </c:pt>
                <c:pt idx="7">
                  <c:v>0.28699999999999998</c:v>
                </c:pt>
                <c:pt idx="8">
                  <c:v>0.29399999999999998</c:v>
                </c:pt>
                <c:pt idx="9">
                  <c:v>0.29328104805425087</c:v>
                </c:pt>
                <c:pt idx="10">
                  <c:v>0.29128846442315204</c:v>
                </c:pt>
                <c:pt idx="11">
                  <c:v>0.29821872999775562</c:v>
                </c:pt>
              </c:numCache>
            </c:numRef>
          </c:val>
          <c:smooth val="0"/>
        </c:ser>
        <c:ser>
          <c:idx val="0"/>
          <c:order val="1"/>
          <c:tx>
            <c:v>FY2017</c:v>
          </c:tx>
          <c:val>
            <c:numRef>
              <c:f>'FY2017'!$C$152:$C$163</c:f>
              <c:numCache>
                <c:formatCode>_("$"* #,##0.00_);_("$"* \(#,##0.00\);_("$"* "-"??_);_(@_)</c:formatCode>
                <c:ptCount val="12"/>
                <c:pt idx="0">
                  <c:v>0.28284290579598603</c:v>
                </c:pt>
                <c:pt idx="1">
                  <c:v>0.2935697805818126</c:v>
                </c:pt>
                <c:pt idx="2">
                  <c:v>0.29593140163457965</c:v>
                </c:pt>
                <c:pt idx="3">
                  <c:v>0.28531778362306381</c:v>
                </c:pt>
                <c:pt idx="4">
                  <c:v>0.28836217395503927</c:v>
                </c:pt>
                <c:pt idx="5">
                  <c:v>0.29055598003539118</c:v>
                </c:pt>
                <c:pt idx="6">
                  <c:v>0.29037745590460784</c:v>
                </c:pt>
                <c:pt idx="7">
                  <c:v>0.28824769572995318</c:v>
                </c:pt>
                <c:pt idx="8">
                  <c:v>0.29017439302501846</c:v>
                </c:pt>
                <c:pt idx="9" formatCode="_(&quot;$&quot;* #,##0.000_);_(&quot;$&quot;* \(#,##0.000\);_(&quot;$&quot;* &quot;-&quot;??_);_(@_)">
                  <c:v>0.28309193033790442</c:v>
                </c:pt>
                <c:pt idx="10" formatCode="_(&quot;$&quot;* #,##0.000_);_(&quot;$&quot;* \(#,##0.000\);_(&quot;$&quot;* &quot;-&quot;??_);_(@_)">
                  <c:v>0</c:v>
                </c:pt>
                <c:pt idx="11" formatCode="_(&quot;$&quot;* #,##0.000_);_(&quot;$&quot;* \(#,##0.000\);_(&quot;$&quot;* &quot;-&quot;??_);_(@_)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83552"/>
        <c:axId val="92185344"/>
      </c:lineChart>
      <c:dateAx>
        <c:axId val="921835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853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2185344"/>
        <c:scaling>
          <c:orientation val="minMax"/>
          <c:max val="0.5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0_);_(&quot;$&quot;* \(#,##0.0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83552"/>
        <c:crosses val="autoZero"/>
        <c:crossBetween val="between"/>
        <c:majorUnit val="5.000000000000001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1674088649418281E-2"/>
          <c:y val="0.84756456692913351"/>
          <c:w val="0.12170273300652376"/>
          <c:h val="0.139755311797397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Ticket
FY2015 Trend</a:t>
            </a:r>
          </a:p>
        </c:rich>
      </c:tx>
      <c:layout>
        <c:manualLayout>
          <c:xMode val="edge"/>
          <c:yMode val="edge"/>
          <c:x val="0.28236961556967244"/>
          <c:y val="4.2416130986108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076923076924"/>
          <c:y val="0.30633802816901823"/>
          <c:w val="0.74291497975708498"/>
          <c:h val="0.3873239436619774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'FY2015'!$B$42:$B$53</c:f>
              <c:numCache>
                <c:formatCode>"$"#,##0.00</c:formatCode>
                <c:ptCount val="12"/>
                <c:pt idx="0">
                  <c:v>104.92466727771165</c:v>
                </c:pt>
                <c:pt idx="1">
                  <c:v>103.64268881654557</c:v>
                </c:pt>
                <c:pt idx="2">
                  <c:v>107.09134824305411</c:v>
                </c:pt>
                <c:pt idx="3">
                  <c:v>101.81282528712825</c:v>
                </c:pt>
                <c:pt idx="4">
                  <c:v>99.766985090083239</c:v>
                </c:pt>
                <c:pt idx="5">
                  <c:v>97.622069118943386</c:v>
                </c:pt>
                <c:pt idx="6">
                  <c:v>99.389354733851306</c:v>
                </c:pt>
                <c:pt idx="7">
                  <c:v>100.87750978859161</c:v>
                </c:pt>
                <c:pt idx="8">
                  <c:v>99.539863546068219</c:v>
                </c:pt>
                <c:pt idx="9">
                  <c:v>97.630480619166036</c:v>
                </c:pt>
                <c:pt idx="10">
                  <c:v>102.60333088925887</c:v>
                </c:pt>
                <c:pt idx="11">
                  <c:v>102.34502112722245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'FY2014'!$B$42:$B$53</c:f>
              <c:numCache>
                <c:formatCode>"$"#,##0.00</c:formatCode>
                <c:ptCount val="12"/>
                <c:pt idx="0">
                  <c:v>112.23421908818668</c:v>
                </c:pt>
                <c:pt idx="1">
                  <c:v>111.39053428702444</c:v>
                </c:pt>
                <c:pt idx="2">
                  <c:v>111.85412681270316</c:v>
                </c:pt>
                <c:pt idx="3">
                  <c:v>104.57913072601082</c:v>
                </c:pt>
                <c:pt idx="4">
                  <c:v>103.83446638347225</c:v>
                </c:pt>
                <c:pt idx="5">
                  <c:v>101.75635327489542</c:v>
                </c:pt>
                <c:pt idx="6">
                  <c:v>102.45078553850659</c:v>
                </c:pt>
                <c:pt idx="7">
                  <c:v>104.86605203808195</c:v>
                </c:pt>
                <c:pt idx="8">
                  <c:v>103.99235626087902</c:v>
                </c:pt>
                <c:pt idx="9">
                  <c:v>103.50197506827934</c:v>
                </c:pt>
                <c:pt idx="10">
                  <c:v>108.77887182144079</c:v>
                </c:pt>
                <c:pt idx="11">
                  <c:v>105.25311042622415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'FY2013'!$B$42:$B$53</c:f>
              <c:numCache>
                <c:formatCode>"$"#,##0.00</c:formatCode>
                <c:ptCount val="12"/>
                <c:pt idx="0">
                  <c:v>108.73950024273563</c:v>
                </c:pt>
                <c:pt idx="1">
                  <c:v>109.75460323633641</c:v>
                </c:pt>
                <c:pt idx="2">
                  <c:v>112.83830492231093</c:v>
                </c:pt>
                <c:pt idx="3">
                  <c:v>108.13076362160129</c:v>
                </c:pt>
                <c:pt idx="4">
                  <c:v>104.00862529742373</c:v>
                </c:pt>
                <c:pt idx="5">
                  <c:v>103.7889000892815</c:v>
                </c:pt>
                <c:pt idx="6">
                  <c:v>101.77304704039832</c:v>
                </c:pt>
                <c:pt idx="7">
                  <c:v>107.4334113771756</c:v>
                </c:pt>
                <c:pt idx="8">
                  <c:v>105.27192882490488</c:v>
                </c:pt>
                <c:pt idx="9">
                  <c:v>107.33458130784473</c:v>
                </c:pt>
                <c:pt idx="10">
                  <c:v>109.20263289537816</c:v>
                </c:pt>
                <c:pt idx="11">
                  <c:v>110.51389658049433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'FY2012'!$B$50:$B$61</c:f>
              <c:numCache>
                <c:formatCode>"$"#,##0.00</c:formatCode>
                <c:ptCount val="12"/>
                <c:pt idx="0">
                  <c:v>104.87587176416146</c:v>
                </c:pt>
                <c:pt idx="1">
                  <c:v>109.2566506558461</c:v>
                </c:pt>
                <c:pt idx="2">
                  <c:v>110.95790560242735</c:v>
                </c:pt>
                <c:pt idx="3">
                  <c:v>102.89695577184769</c:v>
                </c:pt>
                <c:pt idx="4">
                  <c:v>102.1088657087537</c:v>
                </c:pt>
                <c:pt idx="5">
                  <c:v>101.74116735632047</c:v>
                </c:pt>
                <c:pt idx="6">
                  <c:v>100.43686669052492</c:v>
                </c:pt>
                <c:pt idx="7">
                  <c:v>101.44484342424789</c:v>
                </c:pt>
                <c:pt idx="8">
                  <c:v>104.31766663771906</c:v>
                </c:pt>
                <c:pt idx="9">
                  <c:v>101.48431555141299</c:v>
                </c:pt>
                <c:pt idx="10">
                  <c:v>106.13461639796768</c:v>
                </c:pt>
                <c:pt idx="11">
                  <c:v>108.00339959458545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'FY2011'!$B$51:$B$62</c:f>
              <c:numCache>
                <c:formatCode>"$"#,##0.00</c:formatCode>
                <c:ptCount val="12"/>
                <c:pt idx="0">
                  <c:v>117.94980015050862</c:v>
                </c:pt>
                <c:pt idx="1">
                  <c:v>108.14084366073983</c:v>
                </c:pt>
                <c:pt idx="2">
                  <c:v>116.75032527006751</c:v>
                </c:pt>
                <c:pt idx="3">
                  <c:v>104.64912960165499</c:v>
                </c:pt>
                <c:pt idx="4">
                  <c:v>103.17269576832263</c:v>
                </c:pt>
                <c:pt idx="5">
                  <c:v>103.34002475839274</c:v>
                </c:pt>
                <c:pt idx="6">
                  <c:v>108.58253865644565</c:v>
                </c:pt>
                <c:pt idx="7">
                  <c:v>107.75404068824753</c:v>
                </c:pt>
                <c:pt idx="8">
                  <c:v>109.49560837238501</c:v>
                </c:pt>
                <c:pt idx="9">
                  <c:v>106.39337916436747</c:v>
                </c:pt>
                <c:pt idx="10">
                  <c:v>103.10412311822802</c:v>
                </c:pt>
                <c:pt idx="11">
                  <c:v>107.68393004049138</c:v>
                </c:pt>
              </c:numCache>
            </c:numRef>
          </c:val>
          <c:smooth val="0"/>
        </c:ser>
        <c:ser>
          <c:idx val="5"/>
          <c:order val="5"/>
          <c:tx>
            <c:v>Credit 2016</c:v>
          </c:tx>
          <c:val>
            <c:numRef>
              <c:f>'FY2016'!$B$42:$B$53</c:f>
              <c:numCache>
                <c:formatCode>"$"#,##0.00</c:formatCode>
                <c:ptCount val="12"/>
                <c:pt idx="0">
                  <c:v>103.502998427907</c:v>
                </c:pt>
                <c:pt idx="1">
                  <c:v>102.06578842403519</c:v>
                </c:pt>
                <c:pt idx="2">
                  <c:v>107.19663462576568</c:v>
                </c:pt>
                <c:pt idx="3">
                  <c:v>102.17303799135311</c:v>
                </c:pt>
                <c:pt idx="4">
                  <c:v>97.772858986807137</c:v>
                </c:pt>
                <c:pt idx="5">
                  <c:v>96.887179218948134</c:v>
                </c:pt>
                <c:pt idx="6">
                  <c:v>103.46512674212799</c:v>
                </c:pt>
                <c:pt idx="7">
                  <c:v>98.280466423058414</c:v>
                </c:pt>
                <c:pt idx="8">
                  <c:v>99.766849223744344</c:v>
                </c:pt>
                <c:pt idx="9">
                  <c:v>99.035840427676973</c:v>
                </c:pt>
                <c:pt idx="10">
                  <c:v>98.108468129143532</c:v>
                </c:pt>
                <c:pt idx="11">
                  <c:v>103.95929826941398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79808"/>
        <c:axId val="78281344"/>
      </c:lineChart>
      <c:dateAx>
        <c:axId val="782798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813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8281344"/>
        <c:scaling>
          <c:orientation val="minMax"/>
          <c:max val="120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69696969739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79808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499325730165451E-2"/>
          <c:y val="0.85466403548191761"/>
          <c:w val="0.90292568418641928"/>
          <c:h val="0.145336103820355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Sales Dollars
FY2015 Trend</a:t>
            </a:r>
          </a:p>
        </c:rich>
      </c:tx>
      <c:layout>
        <c:manualLayout>
          <c:xMode val="edge"/>
          <c:yMode val="edge"/>
          <c:x val="0.31400000000000372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0000000000041"/>
          <c:y val="0.32089610704311111"/>
          <c:w val="0.72200000000000064"/>
          <c:h val="0.37313500818966283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'FY2015'!$B$9:$B$20</c:f>
              <c:numCache>
                <c:formatCode>_("$"* #,##0_);_("$"* \(#,##0\);_("$"* "-"??_);_(@_)</c:formatCode>
                <c:ptCount val="12"/>
                <c:pt idx="0">
                  <c:v>758973630</c:v>
                </c:pt>
                <c:pt idx="1">
                  <c:v>677167126.63999927</c:v>
                </c:pt>
                <c:pt idx="2">
                  <c:v>730514100.90999997</c:v>
                </c:pt>
                <c:pt idx="3">
                  <c:v>718958290.85000098</c:v>
                </c:pt>
                <c:pt idx="4">
                  <c:v>668596431.94000006</c:v>
                </c:pt>
                <c:pt idx="5">
                  <c:v>759367810.3299998</c:v>
                </c:pt>
                <c:pt idx="6">
                  <c:v>762861402.02999997</c:v>
                </c:pt>
                <c:pt idx="7">
                  <c:v>809506507.1700021</c:v>
                </c:pt>
                <c:pt idx="8">
                  <c:v>796770122.57000005</c:v>
                </c:pt>
                <c:pt idx="9">
                  <c:v>815864536.90999877</c:v>
                </c:pt>
                <c:pt idx="10">
                  <c:v>826734957.31999803</c:v>
                </c:pt>
                <c:pt idx="11">
                  <c:v>774204059.38000107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'FY2014'!$B$9:$B$20</c:f>
              <c:numCache>
                <c:formatCode>_("$"* #,##0_);_("$"* \(#,##0\);_("$"* "-"??_);_(@_)</c:formatCode>
                <c:ptCount val="12"/>
                <c:pt idx="0">
                  <c:v>689409353</c:v>
                </c:pt>
                <c:pt idx="1">
                  <c:v>693290007</c:v>
                </c:pt>
                <c:pt idx="2">
                  <c:v>673525486</c:v>
                </c:pt>
                <c:pt idx="3">
                  <c:v>682596248</c:v>
                </c:pt>
                <c:pt idx="4">
                  <c:v>647829362</c:v>
                </c:pt>
                <c:pt idx="5">
                  <c:v>723835475</c:v>
                </c:pt>
                <c:pt idx="6">
                  <c:v>735333649</c:v>
                </c:pt>
                <c:pt idx="7">
                  <c:v>790695800</c:v>
                </c:pt>
                <c:pt idx="8">
                  <c:v>764718191</c:v>
                </c:pt>
                <c:pt idx="9">
                  <c:v>814964719</c:v>
                </c:pt>
                <c:pt idx="10">
                  <c:v>843195944</c:v>
                </c:pt>
                <c:pt idx="11">
                  <c:v>744935941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'FY2013'!$B$9:$B$20</c:f>
              <c:numCache>
                <c:formatCode>_("$"* #,##0_);_("$"* \(#,##0\);_("$"* "-"??_);_(@_)</c:formatCode>
                <c:ptCount val="12"/>
                <c:pt idx="0">
                  <c:v>680250064.61000001</c:v>
                </c:pt>
                <c:pt idx="1">
                  <c:v>650197903.55999994</c:v>
                </c:pt>
                <c:pt idx="2">
                  <c:v>662760523.16999996</c:v>
                </c:pt>
                <c:pt idx="3">
                  <c:v>686130893</c:v>
                </c:pt>
                <c:pt idx="4">
                  <c:v>633172788.17999995</c:v>
                </c:pt>
                <c:pt idx="5">
                  <c:v>727835334</c:v>
                </c:pt>
                <c:pt idx="6">
                  <c:v>678295172</c:v>
                </c:pt>
                <c:pt idx="7">
                  <c:v>777536960</c:v>
                </c:pt>
                <c:pt idx="8">
                  <c:v>755631799</c:v>
                </c:pt>
                <c:pt idx="9">
                  <c:v>754715702.38</c:v>
                </c:pt>
                <c:pt idx="10">
                  <c:v>782383137</c:v>
                </c:pt>
                <c:pt idx="11">
                  <c:v>713017868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'FY2012'!$B$17:$B$28</c:f>
              <c:numCache>
                <c:formatCode>_("$"* #,##0_);_("$"* \(#,##0\);_("$"* "-"??_);_(@_)</c:formatCode>
                <c:ptCount val="12"/>
                <c:pt idx="0">
                  <c:v>628448001</c:v>
                </c:pt>
                <c:pt idx="1">
                  <c:v>621659635.08000004</c:v>
                </c:pt>
                <c:pt idx="2">
                  <c:v>656784254</c:v>
                </c:pt>
                <c:pt idx="3">
                  <c:v>610669972</c:v>
                </c:pt>
                <c:pt idx="4">
                  <c:v>626246437</c:v>
                </c:pt>
                <c:pt idx="5">
                  <c:v>691400416.17999995</c:v>
                </c:pt>
                <c:pt idx="6">
                  <c:v>645492676.69000006</c:v>
                </c:pt>
                <c:pt idx="7">
                  <c:v>718060180</c:v>
                </c:pt>
                <c:pt idx="8">
                  <c:v>742356437</c:v>
                </c:pt>
                <c:pt idx="9">
                  <c:v>710657823</c:v>
                </c:pt>
                <c:pt idx="10">
                  <c:v>753939134.65999997</c:v>
                </c:pt>
                <c:pt idx="11">
                  <c:v>684600825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'FY2011'!$B$18:$B$29</c:f>
              <c:numCache>
                <c:formatCode>_("$"* #,##0_);_("$"* \(#,##0\);_("$"* "-"??_);_(@_)</c:formatCode>
                <c:ptCount val="12"/>
                <c:pt idx="0">
                  <c:v>643239706.91999936</c:v>
                </c:pt>
                <c:pt idx="1">
                  <c:v>563623696.85000002</c:v>
                </c:pt>
                <c:pt idx="2">
                  <c:v>644106174</c:v>
                </c:pt>
                <c:pt idx="3">
                  <c:v>572836045</c:v>
                </c:pt>
                <c:pt idx="4">
                  <c:v>568963267</c:v>
                </c:pt>
                <c:pt idx="5">
                  <c:v>660066737</c:v>
                </c:pt>
                <c:pt idx="6">
                  <c:v>664490173</c:v>
                </c:pt>
                <c:pt idx="7">
                  <c:v>677854809</c:v>
                </c:pt>
                <c:pt idx="8">
                  <c:v>714424682</c:v>
                </c:pt>
                <c:pt idx="9">
                  <c:v>728432697</c:v>
                </c:pt>
                <c:pt idx="10">
                  <c:v>677421927</c:v>
                </c:pt>
                <c:pt idx="11">
                  <c:v>667170972</c:v>
                </c:pt>
              </c:numCache>
            </c:numRef>
          </c:val>
          <c:smooth val="0"/>
        </c:ser>
        <c:ser>
          <c:idx val="5"/>
          <c:order val="5"/>
          <c:tx>
            <c:v>Credit 2016</c:v>
          </c:tx>
          <c:val>
            <c:numRef>
              <c:f>'FY2016'!$B$9:$B$20</c:f>
              <c:numCache>
                <c:formatCode>_("$"* #,##0.00_);_("$"* \(#,##0.00\);_("$"* "-"??_);_(@_)</c:formatCode>
                <c:ptCount val="12"/>
                <c:pt idx="0">
                  <c:v>791303504.14999843</c:v>
                </c:pt>
                <c:pt idx="1">
                  <c:v>681843150.83000052</c:v>
                </c:pt>
                <c:pt idx="2">
                  <c:v>773462416.80999935</c:v>
                </c:pt>
                <c:pt idx="3">
                  <c:v>737069246.13</c:v>
                </c:pt>
                <c:pt idx="4">
                  <c:v>712334136.98000002</c:v>
                </c:pt>
                <c:pt idx="5">
                  <c:v>802621628.05999994</c:v>
                </c:pt>
                <c:pt idx="6">
                  <c:v>834890940.28999996</c:v>
                </c:pt>
                <c:pt idx="7">
                  <c:v>823494386.89000058</c:v>
                </c:pt>
                <c:pt idx="8">
                  <c:v>868720338.45000005</c:v>
                </c:pt>
                <c:pt idx="9">
                  <c:v>861984681.65999985</c:v>
                </c:pt>
                <c:pt idx="10">
                  <c:v>840139308.94000006</c:v>
                </c:pt>
                <c:pt idx="11">
                  <c:v>842956569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46368"/>
        <c:axId val="38748160"/>
      </c:lineChart>
      <c:dateAx>
        <c:axId val="387463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481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8748160"/>
        <c:scaling>
          <c:orientation val="minMax"/>
          <c:min val="550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6.3590232285929823E-3"/>
              <c:y val="0.488806764020831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46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198647921995161E-2"/>
          <c:y val="0.80565286076034115"/>
          <c:w val="0.85579387147814434"/>
          <c:h val="0.16536162096756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Number of Transactions
FY2015</a:t>
            </a:r>
            <a:r>
              <a:rPr lang="en-US" baseline="0"/>
              <a:t> </a:t>
            </a:r>
            <a:r>
              <a:rPr lang="en-US"/>
              <a:t>Trend</a:t>
            </a:r>
          </a:p>
        </c:rich>
      </c:tx>
      <c:layout>
        <c:manualLayout>
          <c:xMode val="edge"/>
          <c:yMode val="edge"/>
          <c:x val="0.31388329979879842"/>
          <c:y val="3.7453183520599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53"/>
          <c:w val="0.74446680080482897"/>
          <c:h val="0.3707878730244775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'FY2015'!$B$25:$B$36</c:f>
              <c:numCache>
                <c:formatCode>[Black]#,##0;[Black]\-#,##0</c:formatCode>
                <c:ptCount val="12"/>
                <c:pt idx="0">
                  <c:v>7233510</c:v>
                </c:pt>
                <c:pt idx="1">
                  <c:v>6533670</c:v>
                </c:pt>
                <c:pt idx="2">
                  <c:v>6821411</c:v>
                </c:pt>
                <c:pt idx="3">
                  <c:v>7061569</c:v>
                </c:pt>
                <c:pt idx="4">
                  <c:v>6701580</c:v>
                </c:pt>
                <c:pt idx="5">
                  <c:v>7778649</c:v>
                </c:pt>
                <c:pt idx="6">
                  <c:v>7675484</c:v>
                </c:pt>
                <c:pt idx="7">
                  <c:v>8024648</c:v>
                </c:pt>
                <c:pt idx="8">
                  <c:v>8004533</c:v>
                </c:pt>
                <c:pt idx="9">
                  <c:v>8356658</c:v>
                </c:pt>
                <c:pt idx="10">
                  <c:v>8057584</c:v>
                </c:pt>
                <c:pt idx="11">
                  <c:v>7564648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'FY2014'!$B$25:$B$36</c:f>
              <c:numCache>
                <c:formatCode>[Black]#,##0;[Black]\-#,##0</c:formatCode>
                <c:ptCount val="12"/>
                <c:pt idx="0">
                  <c:v>6142595</c:v>
                </c:pt>
                <c:pt idx="1">
                  <c:v>6223958</c:v>
                </c:pt>
                <c:pt idx="2">
                  <c:v>6021463</c:v>
                </c:pt>
                <c:pt idx="3">
                  <c:v>6527079</c:v>
                </c:pt>
                <c:pt idx="4">
                  <c:v>6239059</c:v>
                </c:pt>
                <c:pt idx="5">
                  <c:v>7113418</c:v>
                </c:pt>
                <c:pt idx="6">
                  <c:v>7177433</c:v>
                </c:pt>
                <c:pt idx="7">
                  <c:v>7540055</c:v>
                </c:pt>
                <c:pt idx="8">
                  <c:v>7353600</c:v>
                </c:pt>
                <c:pt idx="9">
                  <c:v>7873905</c:v>
                </c:pt>
                <c:pt idx="10">
                  <c:v>7751468</c:v>
                </c:pt>
                <c:pt idx="11">
                  <c:v>7077567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'FY2013'!$B$25:$B$36</c:f>
              <c:numCache>
                <c:formatCode>[Black]#,##0;[Black]\-#,##0</c:formatCode>
                <c:ptCount val="12"/>
                <c:pt idx="0">
                  <c:v>6255777</c:v>
                </c:pt>
                <c:pt idx="1">
                  <c:v>5924106</c:v>
                </c:pt>
                <c:pt idx="2">
                  <c:v>5873542</c:v>
                </c:pt>
                <c:pt idx="3">
                  <c:v>6345381</c:v>
                </c:pt>
                <c:pt idx="4">
                  <c:v>6087695</c:v>
                </c:pt>
                <c:pt idx="5">
                  <c:v>7012651</c:v>
                </c:pt>
                <c:pt idx="6">
                  <c:v>6664782</c:v>
                </c:pt>
                <c:pt idx="7">
                  <c:v>7237385</c:v>
                </c:pt>
                <c:pt idx="8">
                  <c:v>7177904</c:v>
                </c:pt>
                <c:pt idx="9">
                  <c:v>7031431</c:v>
                </c:pt>
                <c:pt idx="10">
                  <c:v>7164508</c:v>
                </c:pt>
                <c:pt idx="11">
                  <c:v>6451839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'FY2012'!$B$33:$B$44</c:f>
              <c:numCache>
                <c:formatCode>[Black]#,##0;[Black]\-#,##0</c:formatCode>
                <c:ptCount val="12"/>
                <c:pt idx="0">
                  <c:v>5992303</c:v>
                </c:pt>
                <c:pt idx="1">
                  <c:v>5689902</c:v>
                </c:pt>
                <c:pt idx="2">
                  <c:v>5919220</c:v>
                </c:pt>
                <c:pt idx="3">
                  <c:v>5934772</c:v>
                </c:pt>
                <c:pt idx="4">
                  <c:v>6133125</c:v>
                </c:pt>
                <c:pt idx="5">
                  <c:v>6795680</c:v>
                </c:pt>
                <c:pt idx="6">
                  <c:v>6426850</c:v>
                </c:pt>
                <c:pt idx="7">
                  <c:v>7078331</c:v>
                </c:pt>
                <c:pt idx="8">
                  <c:v>7116306</c:v>
                </c:pt>
                <c:pt idx="9">
                  <c:v>7002637</c:v>
                </c:pt>
                <c:pt idx="10">
                  <c:v>7103612</c:v>
                </c:pt>
                <c:pt idx="11">
                  <c:v>6338697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'FY2011'!$B$34:$B$45</c:f>
              <c:numCache>
                <c:formatCode>[Black]#,##0;[Black]\-#,##0</c:formatCode>
                <c:ptCount val="12"/>
                <c:pt idx="0">
                  <c:v>5453504</c:v>
                </c:pt>
                <c:pt idx="1">
                  <c:v>5211941</c:v>
                </c:pt>
                <c:pt idx="2">
                  <c:v>5516954</c:v>
                </c:pt>
                <c:pt idx="3">
                  <c:v>5473873</c:v>
                </c:pt>
                <c:pt idx="4">
                  <c:v>5514669</c:v>
                </c:pt>
                <c:pt idx="5">
                  <c:v>6387329</c:v>
                </c:pt>
                <c:pt idx="6">
                  <c:v>6119678</c:v>
                </c:pt>
                <c:pt idx="7">
                  <c:v>6290760</c:v>
                </c:pt>
                <c:pt idx="8">
                  <c:v>6524688</c:v>
                </c:pt>
                <c:pt idx="9">
                  <c:v>6846598</c:v>
                </c:pt>
                <c:pt idx="10">
                  <c:v>6570270</c:v>
                </c:pt>
                <c:pt idx="11">
                  <c:v>6195641</c:v>
                </c:pt>
              </c:numCache>
            </c:numRef>
          </c:val>
          <c:smooth val="0"/>
        </c:ser>
        <c:ser>
          <c:idx val="5"/>
          <c:order val="5"/>
          <c:tx>
            <c:v>Credit 2016</c:v>
          </c:tx>
          <c:val>
            <c:numRef>
              <c:f>'FY2016'!$B$25:$B$36</c:f>
              <c:numCache>
                <c:formatCode>[Black]#,##0;[Black]\-#,##0</c:formatCode>
                <c:ptCount val="12"/>
                <c:pt idx="0" formatCode="_(* #,##0_);_(* \(#,##0\);_(* &quot;-&quot;??_);_(@_)">
                  <c:v>7645223</c:v>
                </c:pt>
                <c:pt idx="1">
                  <c:v>6680428</c:v>
                </c:pt>
                <c:pt idx="2">
                  <c:v>7215361</c:v>
                </c:pt>
                <c:pt idx="3">
                  <c:v>7213931</c:v>
                </c:pt>
                <c:pt idx="4">
                  <c:v>7285602</c:v>
                </c:pt>
                <c:pt idx="5">
                  <c:v>8284085</c:v>
                </c:pt>
                <c:pt idx="6">
                  <c:v>8069298</c:v>
                </c:pt>
                <c:pt idx="7">
                  <c:v>8379024</c:v>
                </c:pt>
                <c:pt idx="8">
                  <c:v>8707505</c:v>
                </c:pt>
                <c:pt idx="9">
                  <c:v>8703765</c:v>
                </c:pt>
                <c:pt idx="10">
                  <c:v>8563372</c:v>
                </c:pt>
                <c:pt idx="11">
                  <c:v>8108525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96288"/>
        <c:axId val="38806272"/>
      </c:lineChart>
      <c:dateAx>
        <c:axId val="387962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062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8806272"/>
        <c:scaling>
          <c:orientation val="minMax"/>
          <c:max val="9000000"/>
          <c:min val="4099999.99999999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9.7945547113117842E-3"/>
              <c:y val="0.3632970833703583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#,##0;[Black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96288"/>
        <c:crosses val="autoZero"/>
        <c:crossBetween val="between"/>
        <c:majorUnit val="5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134194353754561E-2"/>
          <c:y val="0.8401827200046319"/>
          <c:w val="0.91640009544261514"/>
          <c:h val="0.15981711963423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
FY2015 Trend</a:t>
            </a:r>
          </a:p>
        </c:rich>
      </c:tx>
      <c:layout>
        <c:manualLayout>
          <c:xMode val="edge"/>
          <c:yMode val="edge"/>
          <c:x val="0.31400000000000372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0000000000012"/>
          <c:y val="0.31970260223049007"/>
          <c:w val="0.81200000000000061"/>
          <c:h val="0.3754646840148847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'FY2015'!$B$59:$B$70</c:f>
              <c:numCache>
                <c:formatCode>"$"#,##0</c:formatCode>
                <c:ptCount val="12"/>
                <c:pt idx="0">
                  <c:v>12605011.77</c:v>
                </c:pt>
                <c:pt idx="1">
                  <c:v>11089098.919999998</c:v>
                </c:pt>
                <c:pt idx="2">
                  <c:v>11855954.990000002</c:v>
                </c:pt>
                <c:pt idx="3">
                  <c:v>11521941.280000001</c:v>
                </c:pt>
                <c:pt idx="4">
                  <c:v>10607183.880000001</c:v>
                </c:pt>
                <c:pt idx="5">
                  <c:v>12249009.709999999</c:v>
                </c:pt>
                <c:pt idx="6">
                  <c:v>12717715.84</c:v>
                </c:pt>
                <c:pt idx="7">
                  <c:v>13491019.829999998</c:v>
                </c:pt>
                <c:pt idx="8">
                  <c:v>13240671.910000002</c:v>
                </c:pt>
                <c:pt idx="9">
                  <c:v>13657598.440000001</c:v>
                </c:pt>
                <c:pt idx="10">
                  <c:v>13688915.84</c:v>
                </c:pt>
                <c:pt idx="11">
                  <c:v>12955617.279999999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'FY2014'!$B$59:$B$70</c:f>
              <c:numCache>
                <c:formatCode>"$"#,##0</c:formatCode>
                <c:ptCount val="12"/>
                <c:pt idx="0">
                  <c:v>11208320.709999999</c:v>
                </c:pt>
                <c:pt idx="1">
                  <c:v>11086599.040000001</c:v>
                </c:pt>
                <c:pt idx="2">
                  <c:v>10864014.720000001</c:v>
                </c:pt>
                <c:pt idx="3">
                  <c:v>10882043.560000001</c:v>
                </c:pt>
                <c:pt idx="4">
                  <c:v>10176580</c:v>
                </c:pt>
                <c:pt idx="5">
                  <c:v>11349258.65</c:v>
                </c:pt>
                <c:pt idx="6">
                  <c:v>11869675.34</c:v>
                </c:pt>
                <c:pt idx="7">
                  <c:v>12846913.58</c:v>
                </c:pt>
                <c:pt idx="8">
                  <c:v>12482566.360000001</c:v>
                </c:pt>
                <c:pt idx="9">
                  <c:v>12844355.149999999</c:v>
                </c:pt>
                <c:pt idx="10">
                  <c:v>14391386.869999999</c:v>
                </c:pt>
                <c:pt idx="11">
                  <c:v>11903990.560000001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'FY2013'!$B$59:$B$70</c:f>
              <c:numCache>
                <c:formatCode>"$"#,##0</c:formatCode>
                <c:ptCount val="12"/>
                <c:pt idx="0">
                  <c:v>9906263.3499999996</c:v>
                </c:pt>
                <c:pt idx="1">
                  <c:v>10335858.539999999</c:v>
                </c:pt>
                <c:pt idx="2">
                  <c:v>10481313.57</c:v>
                </c:pt>
                <c:pt idx="3">
                  <c:v>11020817.949999999</c:v>
                </c:pt>
                <c:pt idx="4">
                  <c:v>10016656.34</c:v>
                </c:pt>
                <c:pt idx="5">
                  <c:v>11525646.879999999</c:v>
                </c:pt>
                <c:pt idx="6">
                  <c:v>11455928.32</c:v>
                </c:pt>
                <c:pt idx="7">
                  <c:v>12438261.300000001</c:v>
                </c:pt>
                <c:pt idx="8">
                  <c:v>12147493.199999999</c:v>
                </c:pt>
                <c:pt idx="9">
                  <c:v>12154274.180000002</c:v>
                </c:pt>
                <c:pt idx="10">
                  <c:v>12031129.640000001</c:v>
                </c:pt>
                <c:pt idx="11">
                  <c:v>11478861.59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'FY2012'!$B$67:$B$78</c:f>
              <c:numCache>
                <c:formatCode>"$"#,##0</c:formatCode>
                <c:ptCount val="12"/>
                <c:pt idx="0">
                  <c:v>9710032.9700000007</c:v>
                </c:pt>
                <c:pt idx="1">
                  <c:v>9634886.9399999995</c:v>
                </c:pt>
                <c:pt idx="2">
                  <c:v>10149741</c:v>
                </c:pt>
                <c:pt idx="3">
                  <c:v>9394360</c:v>
                </c:pt>
                <c:pt idx="4">
                  <c:v>9469837.1799999997</c:v>
                </c:pt>
                <c:pt idx="5">
                  <c:v>10537308.210000001</c:v>
                </c:pt>
                <c:pt idx="6">
                  <c:v>10016212.059999999</c:v>
                </c:pt>
                <c:pt idx="7">
                  <c:v>11415144</c:v>
                </c:pt>
                <c:pt idx="8">
                  <c:v>11812731</c:v>
                </c:pt>
                <c:pt idx="9">
                  <c:v>11349766</c:v>
                </c:pt>
                <c:pt idx="10">
                  <c:v>12089605.68</c:v>
                </c:pt>
                <c:pt idx="11">
                  <c:v>10923025.050000001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'FY2011'!$B$68:$B$79</c:f>
              <c:numCache>
                <c:formatCode>"$"#,##0</c:formatCode>
                <c:ptCount val="12"/>
                <c:pt idx="0">
                  <c:v>10754188.27999996</c:v>
                </c:pt>
                <c:pt idx="1">
                  <c:v>9229645.3699999992</c:v>
                </c:pt>
                <c:pt idx="2">
                  <c:v>10607398.27</c:v>
                </c:pt>
                <c:pt idx="3">
                  <c:v>9304238.8599999994</c:v>
                </c:pt>
                <c:pt idx="4">
                  <c:v>9168267</c:v>
                </c:pt>
                <c:pt idx="5">
                  <c:v>10804872.029999999</c:v>
                </c:pt>
                <c:pt idx="6">
                  <c:v>11039319</c:v>
                </c:pt>
                <c:pt idx="7">
                  <c:v>11244004</c:v>
                </c:pt>
                <c:pt idx="8">
                  <c:v>12028464</c:v>
                </c:pt>
                <c:pt idx="9">
                  <c:v>12168184.85</c:v>
                </c:pt>
                <c:pt idx="10">
                  <c:v>11351389</c:v>
                </c:pt>
                <c:pt idx="11">
                  <c:v>11211485.620000001</c:v>
                </c:pt>
              </c:numCache>
            </c:numRef>
          </c:val>
          <c:smooth val="0"/>
        </c:ser>
        <c:ser>
          <c:idx val="5"/>
          <c:order val="5"/>
          <c:tx>
            <c:v>Credit 2016</c:v>
          </c:tx>
          <c:val>
            <c:numRef>
              <c:f>'FY2016'!$B$59:$B$70</c:f>
              <c:numCache>
                <c:formatCode>"$"#,##0</c:formatCode>
                <c:ptCount val="12"/>
                <c:pt idx="0">
                  <c:v>13098979.500000002</c:v>
                </c:pt>
                <c:pt idx="1">
                  <c:v>11485789.369999997</c:v>
                </c:pt>
                <c:pt idx="2">
                  <c:v>13176459.299999999</c:v>
                </c:pt>
                <c:pt idx="3">
                  <c:v>12313337.01</c:v>
                </c:pt>
                <c:pt idx="4">
                  <c:v>11815521.350000003</c:v>
                </c:pt>
                <c:pt idx="5">
                  <c:v>13347334.810000002</c:v>
                </c:pt>
                <c:pt idx="6">
                  <c:v>13976848.32</c:v>
                </c:pt>
                <c:pt idx="7">
                  <c:v>14006542.930000002</c:v>
                </c:pt>
                <c:pt idx="8">
                  <c:v>14862263.040000001</c:v>
                </c:pt>
                <c:pt idx="9">
                  <c:v>14522017.039999999</c:v>
                </c:pt>
                <c:pt idx="10">
                  <c:v>14273670.860000001</c:v>
                </c:pt>
                <c:pt idx="11">
                  <c:v>14399401.75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20672"/>
        <c:axId val="77822208"/>
      </c:lineChart>
      <c:dateAx>
        <c:axId val="778206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8222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7822208"/>
        <c:scaling>
          <c:orientation val="minMax"/>
          <c:max val="15000000"/>
          <c:min val="9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820672"/>
        <c:crosses val="autoZero"/>
        <c:crossBetween val="between"/>
        <c:majorUnit val="1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4972451346943727E-2"/>
          <c:y val="0.84862535228578995"/>
          <c:w val="0.91307980524173604"/>
          <c:h val="0.151374636889250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Signature</a:t>
            </a:r>
            <a:r>
              <a:rPr lang="en-US" baseline="0"/>
              <a:t> Debit Interchange</a:t>
            </a:r>
            <a:r>
              <a:rPr lang="en-US"/>
              <a:t>
FY2015 Trend</a:t>
            </a:r>
          </a:p>
        </c:rich>
      </c:tx>
      <c:layout>
        <c:manualLayout>
          <c:xMode val="edge"/>
          <c:yMode val="edge"/>
          <c:x val="0.27305284830222032"/>
          <c:y val="3.6977952755906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4"/>
          <c:order val="0"/>
          <c:tx>
            <c:v>Sig Debit Intx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'FY2015'!$D$93:$D$104</c:f>
              <c:numCache>
                <c:formatCode>"$"#,##0</c:formatCode>
                <c:ptCount val="12"/>
                <c:pt idx="0">
                  <c:v>822656</c:v>
                </c:pt>
                <c:pt idx="1">
                  <c:v>746599.89999999979</c:v>
                </c:pt>
                <c:pt idx="2">
                  <c:v>818974.81</c:v>
                </c:pt>
                <c:pt idx="3">
                  <c:v>810271.25</c:v>
                </c:pt>
                <c:pt idx="4">
                  <c:v>796056.15</c:v>
                </c:pt>
                <c:pt idx="5">
                  <c:v>896322.14</c:v>
                </c:pt>
                <c:pt idx="6">
                  <c:v>834294.97</c:v>
                </c:pt>
                <c:pt idx="7">
                  <c:v>805122.59</c:v>
                </c:pt>
                <c:pt idx="8">
                  <c:v>797844.63</c:v>
                </c:pt>
                <c:pt idx="9">
                  <c:v>841715.79</c:v>
                </c:pt>
                <c:pt idx="10">
                  <c:v>792631.14</c:v>
                </c:pt>
                <c:pt idx="11">
                  <c:v>759188.33</c:v>
                </c:pt>
              </c:numCache>
            </c:numRef>
          </c:val>
          <c:smooth val="0"/>
        </c:ser>
        <c:ser>
          <c:idx val="0"/>
          <c:order val="1"/>
          <c:tx>
            <c:v>Sig Debit Intx 2014</c:v>
          </c:tx>
          <c:spPr>
            <a:ln w="12700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'FY2014'!$D$93:$D$104</c:f>
              <c:numCache>
                <c:formatCode>"$"#,##0</c:formatCode>
                <c:ptCount val="12"/>
                <c:pt idx="0">
                  <c:v>693283</c:v>
                </c:pt>
                <c:pt idx="1">
                  <c:v>728747</c:v>
                </c:pt>
                <c:pt idx="2">
                  <c:v>699606</c:v>
                </c:pt>
                <c:pt idx="3">
                  <c:v>727274</c:v>
                </c:pt>
                <c:pt idx="4">
                  <c:v>734520.17</c:v>
                </c:pt>
                <c:pt idx="5">
                  <c:v>844549</c:v>
                </c:pt>
                <c:pt idx="6">
                  <c:v>815478</c:v>
                </c:pt>
                <c:pt idx="7">
                  <c:v>852158</c:v>
                </c:pt>
                <c:pt idx="8">
                  <c:v>814222</c:v>
                </c:pt>
                <c:pt idx="9">
                  <c:v>864882</c:v>
                </c:pt>
                <c:pt idx="10">
                  <c:v>864571</c:v>
                </c:pt>
                <c:pt idx="11">
                  <c:v>820259</c:v>
                </c:pt>
              </c:numCache>
            </c:numRef>
          </c:val>
          <c:smooth val="0"/>
        </c:ser>
        <c:ser>
          <c:idx val="3"/>
          <c:order val="2"/>
          <c:tx>
            <c:v>Sig Debit Intx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'FY2013'!$D$93:$D$104</c:f>
              <c:numCache>
                <c:formatCode>"$"#,##0</c:formatCode>
                <c:ptCount val="12"/>
                <c:pt idx="0">
                  <c:v>714621</c:v>
                </c:pt>
                <c:pt idx="1">
                  <c:v>662887</c:v>
                </c:pt>
                <c:pt idx="2">
                  <c:v>684392</c:v>
                </c:pt>
                <c:pt idx="3">
                  <c:v>714127</c:v>
                </c:pt>
                <c:pt idx="4">
                  <c:v>702297</c:v>
                </c:pt>
                <c:pt idx="5">
                  <c:v>831895</c:v>
                </c:pt>
                <c:pt idx="6">
                  <c:v>753678</c:v>
                </c:pt>
                <c:pt idx="7">
                  <c:v>821527</c:v>
                </c:pt>
                <c:pt idx="8">
                  <c:v>826812</c:v>
                </c:pt>
                <c:pt idx="9">
                  <c:v>792155.5</c:v>
                </c:pt>
                <c:pt idx="10">
                  <c:v>814111</c:v>
                </c:pt>
                <c:pt idx="11">
                  <c:v>726496</c:v>
                </c:pt>
              </c:numCache>
            </c:numRef>
          </c:val>
          <c:smooth val="0"/>
        </c:ser>
        <c:ser>
          <c:idx val="2"/>
          <c:order val="3"/>
          <c:tx>
            <c:v>Sig Debit Intx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'FY2012'!$D$101:$D$112</c:f>
              <c:numCache>
                <c:formatCode>"$"#,##0</c:formatCode>
                <c:ptCount val="12"/>
                <c:pt idx="0">
                  <c:v>695078</c:v>
                </c:pt>
                <c:pt idx="1">
                  <c:v>669850.65</c:v>
                </c:pt>
                <c:pt idx="2">
                  <c:v>713838</c:v>
                </c:pt>
                <c:pt idx="3">
                  <c:v>693499</c:v>
                </c:pt>
                <c:pt idx="4">
                  <c:v>753063.25999999791</c:v>
                </c:pt>
                <c:pt idx="5">
                  <c:v>823340.15</c:v>
                </c:pt>
                <c:pt idx="6">
                  <c:v>740126</c:v>
                </c:pt>
                <c:pt idx="7">
                  <c:v>787384</c:v>
                </c:pt>
                <c:pt idx="8">
                  <c:v>807399</c:v>
                </c:pt>
                <c:pt idx="9">
                  <c:v>768086</c:v>
                </c:pt>
                <c:pt idx="10">
                  <c:v>801845.52</c:v>
                </c:pt>
                <c:pt idx="11">
                  <c:v>730956</c:v>
                </c:pt>
              </c:numCache>
            </c:numRef>
          </c:val>
          <c:smooth val="0"/>
        </c:ser>
        <c:ser>
          <c:idx val="1"/>
          <c:order val="4"/>
          <c:tx>
            <c:v>Sig Debit Intx 2011</c:v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'FY2011'!$D$102:$D$113</c:f>
              <c:numCache>
                <c:formatCode>"$"#,##0</c:formatCode>
                <c:ptCount val="12"/>
                <c:pt idx="0">
                  <c:v>1056049</c:v>
                </c:pt>
                <c:pt idx="1">
                  <c:v>975947</c:v>
                </c:pt>
                <c:pt idx="2">
                  <c:v>1063565</c:v>
                </c:pt>
                <c:pt idx="3">
                  <c:v>1026501</c:v>
                </c:pt>
                <c:pt idx="4">
                  <c:v>1093455</c:v>
                </c:pt>
                <c:pt idx="5">
                  <c:v>1283904</c:v>
                </c:pt>
                <c:pt idx="6">
                  <c:v>1197405</c:v>
                </c:pt>
                <c:pt idx="7">
                  <c:v>1210519</c:v>
                </c:pt>
                <c:pt idx="8">
                  <c:v>1259255</c:v>
                </c:pt>
                <c:pt idx="9">
                  <c:v>1309200</c:v>
                </c:pt>
                <c:pt idx="10">
                  <c:v>1252713</c:v>
                </c:pt>
                <c:pt idx="11">
                  <c:v>1169794</c:v>
                </c:pt>
              </c:numCache>
            </c:numRef>
          </c:val>
          <c:smooth val="0"/>
        </c:ser>
        <c:ser>
          <c:idx val="5"/>
          <c:order val="5"/>
          <c:tx>
            <c:v>Sig Debit Intx 2016</c:v>
          </c:tx>
          <c:val>
            <c:numRef>
              <c:f>'FY2016'!$C$100:$C$111</c:f>
              <c:numCache>
                <c:formatCode>"$"#,##0</c:formatCode>
                <c:ptCount val="12"/>
                <c:pt idx="0">
                  <c:v>155684065.27000001</c:v>
                </c:pt>
                <c:pt idx="1">
                  <c:v>137431140.58000001</c:v>
                </c:pt>
                <c:pt idx="2">
                  <c:v>150880948.49000001</c:v>
                </c:pt>
                <c:pt idx="3">
                  <c:v>150033333.88</c:v>
                </c:pt>
                <c:pt idx="4">
                  <c:v>150420589.31</c:v>
                </c:pt>
                <c:pt idx="5">
                  <c:v>168277615.47</c:v>
                </c:pt>
                <c:pt idx="6">
                  <c:v>163824768.66999999</c:v>
                </c:pt>
                <c:pt idx="7">
                  <c:v>164263735.62</c:v>
                </c:pt>
                <c:pt idx="8">
                  <c:v>176991148.19</c:v>
                </c:pt>
                <c:pt idx="9">
                  <c:v>178226549</c:v>
                </c:pt>
                <c:pt idx="10">
                  <c:v>173937029</c:v>
                </c:pt>
                <c:pt idx="11">
                  <c:v>166599921.99000001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9824"/>
        <c:axId val="38911360"/>
      </c:lineChart>
      <c:dateAx>
        <c:axId val="389098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11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8911360"/>
        <c:scaling>
          <c:orientation val="minMax"/>
          <c:max val="1500000"/>
          <c:min val="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9824"/>
        <c:crosses val="autoZero"/>
        <c:crossBetween val="between"/>
        <c:majorUnit val="2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4918688449063"/>
          <c:y val="0.83165472440944965"/>
          <c:w val="0.81047087522940964"/>
          <c:h val="0.1683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Number of Transactions
FY2017</a:t>
            </a:r>
            <a:r>
              <a:rPr lang="en-US" baseline="0"/>
              <a:t> </a:t>
            </a:r>
            <a:r>
              <a:rPr lang="en-US"/>
              <a:t>Trend</a:t>
            </a:r>
          </a:p>
        </c:rich>
      </c:tx>
      <c:layout>
        <c:manualLayout>
          <c:xMode val="edge"/>
          <c:yMode val="edge"/>
          <c:x val="0.31388329979879842"/>
          <c:y val="3.7453183520599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53"/>
          <c:w val="0.74446680080482897"/>
          <c:h val="0.3707878730244775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'FY2015'!$B$25:$B$36</c:f>
              <c:numCache>
                <c:formatCode>[Black]#,##0;[Black]\-#,##0</c:formatCode>
                <c:ptCount val="12"/>
                <c:pt idx="0">
                  <c:v>7233510</c:v>
                </c:pt>
                <c:pt idx="1">
                  <c:v>6533670</c:v>
                </c:pt>
                <c:pt idx="2">
                  <c:v>6821411</c:v>
                </c:pt>
                <c:pt idx="3">
                  <c:v>7061569</c:v>
                </c:pt>
                <c:pt idx="4">
                  <c:v>6701580</c:v>
                </c:pt>
                <c:pt idx="5">
                  <c:v>7778649</c:v>
                </c:pt>
                <c:pt idx="6">
                  <c:v>7675484</c:v>
                </c:pt>
                <c:pt idx="7">
                  <c:v>8024648</c:v>
                </c:pt>
                <c:pt idx="8">
                  <c:v>8004533</c:v>
                </c:pt>
                <c:pt idx="9">
                  <c:v>8356658</c:v>
                </c:pt>
                <c:pt idx="10">
                  <c:v>8057584</c:v>
                </c:pt>
                <c:pt idx="11">
                  <c:v>7564648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'FY2014'!$B$25:$B$36</c:f>
              <c:numCache>
                <c:formatCode>[Black]#,##0;[Black]\-#,##0</c:formatCode>
                <c:ptCount val="12"/>
                <c:pt idx="0">
                  <c:v>6142595</c:v>
                </c:pt>
                <c:pt idx="1">
                  <c:v>6223958</c:v>
                </c:pt>
                <c:pt idx="2">
                  <c:v>6021463</c:v>
                </c:pt>
                <c:pt idx="3">
                  <c:v>6527079</c:v>
                </c:pt>
                <c:pt idx="4">
                  <c:v>6239059</c:v>
                </c:pt>
                <c:pt idx="5">
                  <c:v>7113418</c:v>
                </c:pt>
                <c:pt idx="6">
                  <c:v>7177433</c:v>
                </c:pt>
                <c:pt idx="7">
                  <c:v>7540055</c:v>
                </c:pt>
                <c:pt idx="8">
                  <c:v>7353600</c:v>
                </c:pt>
                <c:pt idx="9">
                  <c:v>7873905</c:v>
                </c:pt>
                <c:pt idx="10">
                  <c:v>7751468</c:v>
                </c:pt>
                <c:pt idx="11">
                  <c:v>7077567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'FY2013'!$B$25:$B$36</c:f>
              <c:numCache>
                <c:formatCode>[Black]#,##0;[Black]\-#,##0</c:formatCode>
                <c:ptCount val="12"/>
                <c:pt idx="0">
                  <c:v>6255777</c:v>
                </c:pt>
                <c:pt idx="1">
                  <c:v>5924106</c:v>
                </c:pt>
                <c:pt idx="2">
                  <c:v>5873542</c:v>
                </c:pt>
                <c:pt idx="3">
                  <c:v>6345381</c:v>
                </c:pt>
                <c:pt idx="4">
                  <c:v>6087695</c:v>
                </c:pt>
                <c:pt idx="5">
                  <c:v>7012651</c:v>
                </c:pt>
                <c:pt idx="6">
                  <c:v>6664782</c:v>
                </c:pt>
                <c:pt idx="7">
                  <c:v>7237385</c:v>
                </c:pt>
                <c:pt idx="8">
                  <c:v>7177904</c:v>
                </c:pt>
                <c:pt idx="9">
                  <c:v>7031431</c:v>
                </c:pt>
                <c:pt idx="10">
                  <c:v>7164508</c:v>
                </c:pt>
                <c:pt idx="11">
                  <c:v>6451839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'FY2012'!$B$33:$B$44</c:f>
              <c:numCache>
                <c:formatCode>[Black]#,##0;[Black]\-#,##0</c:formatCode>
                <c:ptCount val="12"/>
                <c:pt idx="0">
                  <c:v>5992303</c:v>
                </c:pt>
                <c:pt idx="1">
                  <c:v>5689902</c:v>
                </c:pt>
                <c:pt idx="2">
                  <c:v>5919220</c:v>
                </c:pt>
                <c:pt idx="3">
                  <c:v>5934772</c:v>
                </c:pt>
                <c:pt idx="4">
                  <c:v>6133125</c:v>
                </c:pt>
                <c:pt idx="5">
                  <c:v>6795680</c:v>
                </c:pt>
                <c:pt idx="6">
                  <c:v>6426850</c:v>
                </c:pt>
                <c:pt idx="7">
                  <c:v>7078331</c:v>
                </c:pt>
                <c:pt idx="8">
                  <c:v>7116306</c:v>
                </c:pt>
                <c:pt idx="9">
                  <c:v>7002637</c:v>
                </c:pt>
                <c:pt idx="10">
                  <c:v>7103612</c:v>
                </c:pt>
                <c:pt idx="11">
                  <c:v>6338697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'FY2011'!$B$34:$B$45</c:f>
              <c:numCache>
                <c:formatCode>[Black]#,##0;[Black]\-#,##0</c:formatCode>
                <c:ptCount val="12"/>
                <c:pt idx="0">
                  <c:v>5453504</c:v>
                </c:pt>
                <c:pt idx="1">
                  <c:v>5211941</c:v>
                </c:pt>
                <c:pt idx="2">
                  <c:v>5516954</c:v>
                </c:pt>
                <c:pt idx="3">
                  <c:v>5473873</c:v>
                </c:pt>
                <c:pt idx="4">
                  <c:v>5514669</c:v>
                </c:pt>
                <c:pt idx="5">
                  <c:v>6387329</c:v>
                </c:pt>
                <c:pt idx="6">
                  <c:v>6119678</c:v>
                </c:pt>
                <c:pt idx="7">
                  <c:v>6290760</c:v>
                </c:pt>
                <c:pt idx="8">
                  <c:v>6524688</c:v>
                </c:pt>
                <c:pt idx="9">
                  <c:v>6846598</c:v>
                </c:pt>
                <c:pt idx="10">
                  <c:v>6570270</c:v>
                </c:pt>
                <c:pt idx="11">
                  <c:v>6195641</c:v>
                </c:pt>
              </c:numCache>
            </c:numRef>
          </c:val>
          <c:smooth val="0"/>
        </c:ser>
        <c:ser>
          <c:idx val="5"/>
          <c:order val="5"/>
          <c:tx>
            <c:v>Credit 2016</c:v>
          </c:tx>
          <c:val>
            <c:numRef>
              <c:f>'FY2016'!$B$25:$B$36</c:f>
              <c:numCache>
                <c:formatCode>[Black]#,##0;[Black]\-#,##0</c:formatCode>
                <c:ptCount val="12"/>
                <c:pt idx="0" formatCode="_(* #,##0_);_(* \(#,##0\);_(* &quot;-&quot;??_);_(@_)">
                  <c:v>7645223</c:v>
                </c:pt>
                <c:pt idx="1">
                  <c:v>6680428</c:v>
                </c:pt>
                <c:pt idx="2">
                  <c:v>7215361</c:v>
                </c:pt>
                <c:pt idx="3">
                  <c:v>7213931</c:v>
                </c:pt>
                <c:pt idx="4">
                  <c:v>7285602</c:v>
                </c:pt>
                <c:pt idx="5">
                  <c:v>8284085</c:v>
                </c:pt>
                <c:pt idx="6">
                  <c:v>8069298</c:v>
                </c:pt>
                <c:pt idx="7">
                  <c:v>8379024</c:v>
                </c:pt>
                <c:pt idx="8">
                  <c:v>8707505</c:v>
                </c:pt>
                <c:pt idx="9">
                  <c:v>8703765</c:v>
                </c:pt>
                <c:pt idx="10">
                  <c:v>8563372</c:v>
                </c:pt>
                <c:pt idx="11">
                  <c:v>8108525</c:v>
                </c:pt>
              </c:numCache>
            </c:numRef>
          </c:val>
          <c:smooth val="0"/>
        </c:ser>
        <c:ser>
          <c:idx val="6"/>
          <c:order val="6"/>
          <c:tx>
            <c:v>Credit 2017</c:v>
          </c:tx>
          <c:val>
            <c:numRef>
              <c:f>'FY2017'!$B$25:$B$36</c:f>
              <c:numCache>
                <c:formatCode>[Black]#,##0;[Black]\-#,##0</c:formatCode>
                <c:ptCount val="12"/>
                <c:pt idx="0" formatCode="_(* #,##0_);_(* \(#,##0\);_(* &quot;-&quot;??_);_(@_)">
                  <c:v>7776507</c:v>
                </c:pt>
                <c:pt idx="1">
                  <c:v>7387383</c:v>
                </c:pt>
                <c:pt idx="2">
                  <c:v>7566257</c:v>
                </c:pt>
                <c:pt idx="3">
                  <c:v>7473496</c:v>
                </c:pt>
                <c:pt idx="4">
                  <c:v>7331540</c:v>
                </c:pt>
                <c:pt idx="5">
                  <c:v>8726932</c:v>
                </c:pt>
                <c:pt idx="6">
                  <c:v>8046005</c:v>
                </c:pt>
                <c:pt idx="7">
                  <c:v>8379243</c:v>
                </c:pt>
                <c:pt idx="8">
                  <c:v>8844579</c:v>
                </c:pt>
                <c:pt idx="9">
                  <c:v>8800812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09824"/>
        <c:axId val="78911360"/>
      </c:lineChart>
      <c:dateAx>
        <c:axId val="789098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11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8911360"/>
        <c:scaling>
          <c:orientation val="minMax"/>
          <c:max val="9000000"/>
          <c:min val="4099999.99999999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9.7945547113117842E-3"/>
              <c:y val="0.3632970833703583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#,##0;[Black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09824"/>
        <c:crosses val="autoZero"/>
        <c:crossBetween val="between"/>
        <c:majorUnit val="5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134194353754561E-2"/>
          <c:y val="0.8401827200046319"/>
          <c:w val="0.91640009544261514"/>
          <c:h val="0.15981717114258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New Set-Ups
FY2015 Trend</a:t>
            </a:r>
          </a:p>
        </c:rich>
      </c:tx>
      <c:layout>
        <c:manualLayout>
          <c:xMode val="edge"/>
          <c:yMode val="edge"/>
          <c:x val="0.36952086193320893"/>
          <c:y val="3.85964084750375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39071414610363E-2"/>
          <c:y val="0.18640530421719456"/>
          <c:w val="0.88571232295841651"/>
          <c:h val="0.56391262012710952"/>
        </c:manualLayout>
      </c:layout>
      <c:lineChart>
        <c:grouping val="standard"/>
        <c:varyColors val="0"/>
        <c:ser>
          <c:idx val="8"/>
          <c:order val="0"/>
          <c:tx>
            <c:v>New Account Setup 2015</c:v>
          </c:tx>
          <c:spPr>
            <a:ln>
              <a:solidFill>
                <a:srgbClr val="00B0F0"/>
              </a:solidFill>
            </a:ln>
          </c:spPr>
          <c:marker>
            <c:symbol val="star"/>
            <c:size val="7"/>
            <c:spPr>
              <a:ln>
                <a:solidFill>
                  <a:srgbClr val="00B0F0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'FY2015'!$B$147:$B$158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12</c:v>
                </c:pt>
                <c:pt idx="8">
                  <c:v>18</c:v>
                </c:pt>
                <c:pt idx="9">
                  <c:v>2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ser>
          <c:idx val="0"/>
          <c:order val="1"/>
          <c:tx>
            <c:v>New Account Setup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'FY2014'!$B$147:$B$158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  <c:pt idx="4">
                  <c:v>15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  <c:pt idx="9">
                  <c:v>2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ser>
          <c:idx val="6"/>
          <c:order val="2"/>
          <c:tx>
            <c:v>New Account Setup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'FY2013'!$B$147:$B$158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29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  <c:smooth val="0"/>
        </c:ser>
        <c:ser>
          <c:idx val="4"/>
          <c:order val="3"/>
          <c:tx>
            <c:v>New Account Setup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'FY2012'!$B$155:$B$166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  <c:smooth val="0"/>
        </c:ser>
        <c:ser>
          <c:idx val="2"/>
          <c:order val="4"/>
          <c:tx>
            <c:v>New Account Setup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'FY2011'!$B$156:$B$167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9"/>
          <c:order val="5"/>
          <c:tx>
            <c:v>New Location Only Setup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'FY2015'!$C$147:$C$158</c:f>
              <c:numCache>
                <c:formatCode>General</c:formatCode>
                <c:ptCount val="12"/>
                <c:pt idx="0">
                  <c:v>17</c:v>
                </c:pt>
                <c:pt idx="1">
                  <c:v>54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New Location Only Setup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'FY2014'!$C$147:$C$158</c:f>
              <c:numCache>
                <c:formatCode>General</c:formatCode>
                <c:ptCount val="12"/>
                <c:pt idx="0">
                  <c:v>20</c:v>
                </c:pt>
                <c:pt idx="1">
                  <c:v>11</c:v>
                </c:pt>
                <c:pt idx="2">
                  <c:v>20</c:v>
                </c:pt>
                <c:pt idx="3">
                  <c:v>18</c:v>
                </c:pt>
                <c:pt idx="4">
                  <c:v>36</c:v>
                </c:pt>
                <c:pt idx="5">
                  <c:v>19</c:v>
                </c:pt>
                <c:pt idx="6">
                  <c:v>34</c:v>
                </c:pt>
                <c:pt idx="7">
                  <c:v>18</c:v>
                </c:pt>
                <c:pt idx="8">
                  <c:v>1235</c:v>
                </c:pt>
                <c:pt idx="9">
                  <c:v>15</c:v>
                </c:pt>
                <c:pt idx="10">
                  <c:v>27</c:v>
                </c:pt>
                <c:pt idx="11">
                  <c:v>17</c:v>
                </c:pt>
              </c:numCache>
            </c:numRef>
          </c:val>
          <c:smooth val="0"/>
        </c:ser>
        <c:ser>
          <c:idx val="7"/>
          <c:order val="7"/>
          <c:tx>
            <c:v>New Location Only Setup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'FY2013'!$C$147:$C$158</c:f>
              <c:numCache>
                <c:formatCode>General</c:formatCode>
                <c:ptCount val="12"/>
                <c:pt idx="0">
                  <c:v>87</c:v>
                </c:pt>
                <c:pt idx="1">
                  <c:v>10</c:v>
                </c:pt>
                <c:pt idx="2">
                  <c:v>79</c:v>
                </c:pt>
                <c:pt idx="3">
                  <c:v>161</c:v>
                </c:pt>
                <c:pt idx="4">
                  <c:v>10</c:v>
                </c:pt>
                <c:pt idx="5">
                  <c:v>3</c:v>
                </c:pt>
                <c:pt idx="6">
                  <c:v>28</c:v>
                </c:pt>
                <c:pt idx="7">
                  <c:v>28</c:v>
                </c:pt>
                <c:pt idx="8">
                  <c:v>1</c:v>
                </c:pt>
                <c:pt idx="9">
                  <c:v>212</c:v>
                </c:pt>
                <c:pt idx="10">
                  <c:v>23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8"/>
          <c:tx>
            <c:v>New Location Only Setup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'FY2012'!$C$155:$C$166</c:f>
              <c:numCache>
                <c:formatCode>General</c:formatCode>
                <c:ptCount val="12"/>
                <c:pt idx="0">
                  <c:v>14</c:v>
                </c:pt>
                <c:pt idx="1">
                  <c:v>9</c:v>
                </c:pt>
                <c:pt idx="2">
                  <c:v>9</c:v>
                </c:pt>
                <c:pt idx="3">
                  <c:v>59</c:v>
                </c:pt>
                <c:pt idx="4">
                  <c:v>108</c:v>
                </c:pt>
                <c:pt idx="5">
                  <c:v>62</c:v>
                </c:pt>
                <c:pt idx="6">
                  <c:v>31</c:v>
                </c:pt>
                <c:pt idx="7">
                  <c:v>23</c:v>
                </c:pt>
                <c:pt idx="8">
                  <c:v>41</c:v>
                </c:pt>
                <c:pt idx="9">
                  <c:v>36</c:v>
                </c:pt>
                <c:pt idx="10">
                  <c:v>28</c:v>
                </c:pt>
                <c:pt idx="11">
                  <c:v>18</c:v>
                </c:pt>
              </c:numCache>
            </c:numRef>
          </c:val>
          <c:smooth val="0"/>
        </c:ser>
        <c:ser>
          <c:idx val="3"/>
          <c:order val="9"/>
          <c:tx>
            <c:v>New Location Only Setup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'FY2011'!$C$156:$C$167</c:f>
              <c:numCache>
                <c:formatCode>General</c:formatCode>
                <c:ptCount val="12"/>
                <c:pt idx="0">
                  <c:v>45</c:v>
                </c:pt>
                <c:pt idx="1">
                  <c:v>46</c:v>
                </c:pt>
                <c:pt idx="2">
                  <c:v>14</c:v>
                </c:pt>
                <c:pt idx="3">
                  <c:v>22</c:v>
                </c:pt>
                <c:pt idx="4">
                  <c:v>24</c:v>
                </c:pt>
                <c:pt idx="5">
                  <c:v>57</c:v>
                </c:pt>
                <c:pt idx="6">
                  <c:v>13</c:v>
                </c:pt>
                <c:pt idx="7">
                  <c:v>54</c:v>
                </c:pt>
                <c:pt idx="8">
                  <c:v>60</c:v>
                </c:pt>
                <c:pt idx="9">
                  <c:v>10</c:v>
                </c:pt>
                <c:pt idx="10">
                  <c:v>15</c:v>
                </c:pt>
                <c:pt idx="11">
                  <c:v>14</c:v>
                </c:pt>
              </c:numCache>
            </c:numRef>
          </c:val>
          <c:smooth val="0"/>
        </c:ser>
        <c:ser>
          <c:idx val="10"/>
          <c:order val="10"/>
          <c:tx>
            <c:v>New Account Setup 2016</c:v>
          </c:tx>
          <c:val>
            <c:numRef>
              <c:f>'FY2016'!$B$170:$B$181</c:f>
              <c:numCache>
                <c:formatCode>General</c:formatCode>
                <c:ptCount val="12"/>
                <c:pt idx="0">
                  <c:v>8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13</c:v>
                </c:pt>
                <c:pt idx="8">
                  <c:v>7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  <c:smooth val="0"/>
        </c:ser>
        <c:ser>
          <c:idx val="11"/>
          <c:order val="11"/>
          <c:tx>
            <c:v>New Location Only Setup 2016</c:v>
          </c:tx>
          <c:val>
            <c:numRef>
              <c:f>'FY2016'!$C$170:$C$181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82016"/>
        <c:axId val="38983552"/>
      </c:lineChart>
      <c:dateAx>
        <c:axId val="389820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835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8983552"/>
        <c:scaling>
          <c:orientation val="minMax"/>
          <c:max val="1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82016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04435933596571E-2"/>
          <c:y val="0.83308719231905271"/>
          <c:w val="0.95251447759451957"/>
          <c:h val="0.16691274055859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 horizontalDpi="-3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Network Fees
FY2015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3036437247187"/>
          <c:y val="0.30106344157989551"/>
          <c:w val="0.8137651821862345"/>
          <c:h val="0.4002372811591495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'FY2015'!$B$76:$B$87</c:f>
              <c:numCache>
                <c:formatCode>"$"#,##0</c:formatCode>
                <c:ptCount val="12"/>
                <c:pt idx="0">
                  <c:v>946543.42999999993</c:v>
                </c:pt>
                <c:pt idx="1">
                  <c:v>850274.5900000002</c:v>
                </c:pt>
                <c:pt idx="2">
                  <c:v>916756.33000000007</c:v>
                </c:pt>
                <c:pt idx="3">
                  <c:v>959105.0900000002</c:v>
                </c:pt>
                <c:pt idx="4">
                  <c:v>940501.68000000017</c:v>
                </c:pt>
                <c:pt idx="5">
                  <c:v>1048066.0700000003</c:v>
                </c:pt>
                <c:pt idx="6">
                  <c:v>1049677.6000000003</c:v>
                </c:pt>
                <c:pt idx="7">
                  <c:v>1116060.0999999999</c:v>
                </c:pt>
                <c:pt idx="8">
                  <c:v>1120471.5700000005</c:v>
                </c:pt>
                <c:pt idx="9">
                  <c:v>1129411.1899999997</c:v>
                </c:pt>
                <c:pt idx="10">
                  <c:v>1148800.26</c:v>
                </c:pt>
                <c:pt idx="11">
                  <c:v>1079614.9700000002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'FY2014'!$B$76:$B$87</c:f>
              <c:numCache>
                <c:formatCode>"$"#,##0</c:formatCode>
                <c:ptCount val="12"/>
                <c:pt idx="0">
                  <c:v>835605.80999999982</c:v>
                </c:pt>
                <c:pt idx="1">
                  <c:v>843777.25</c:v>
                </c:pt>
                <c:pt idx="2">
                  <c:v>828297.13000000012</c:v>
                </c:pt>
                <c:pt idx="3">
                  <c:v>849557.98000000068</c:v>
                </c:pt>
                <c:pt idx="4">
                  <c:v>811839.42999999982</c:v>
                </c:pt>
                <c:pt idx="5">
                  <c:v>907254.31</c:v>
                </c:pt>
                <c:pt idx="6">
                  <c:v>930072.83000000019</c:v>
                </c:pt>
                <c:pt idx="7">
                  <c:v>1021434.3900000002</c:v>
                </c:pt>
                <c:pt idx="8">
                  <c:v>964629.56</c:v>
                </c:pt>
                <c:pt idx="9">
                  <c:v>1018159.4600000004</c:v>
                </c:pt>
                <c:pt idx="10">
                  <c:v>1020595.0499999998</c:v>
                </c:pt>
                <c:pt idx="11">
                  <c:v>959615.01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'FY2013'!$B$76:$B$87</c:f>
              <c:numCache>
                <c:formatCode>"$"#,##0</c:formatCode>
                <c:ptCount val="12"/>
                <c:pt idx="0">
                  <c:v>828338.27000000025</c:v>
                </c:pt>
                <c:pt idx="1">
                  <c:v>788749.7699999999</c:v>
                </c:pt>
                <c:pt idx="2">
                  <c:v>798354.00999999978</c:v>
                </c:pt>
                <c:pt idx="3">
                  <c:v>826666.86</c:v>
                </c:pt>
                <c:pt idx="4">
                  <c:v>778684.64999999991</c:v>
                </c:pt>
                <c:pt idx="5">
                  <c:v>884092.4</c:v>
                </c:pt>
                <c:pt idx="6">
                  <c:v>841286.8600000001</c:v>
                </c:pt>
                <c:pt idx="7">
                  <c:v>904893.62000000023</c:v>
                </c:pt>
                <c:pt idx="8">
                  <c:v>933936.03</c:v>
                </c:pt>
                <c:pt idx="9">
                  <c:v>930942.11</c:v>
                </c:pt>
                <c:pt idx="10">
                  <c:v>948706.93</c:v>
                </c:pt>
                <c:pt idx="11">
                  <c:v>874303.06999999937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'FY2012'!$B$84:$B$95</c:f>
              <c:numCache>
                <c:formatCode>"$"#,##0</c:formatCode>
                <c:ptCount val="12"/>
                <c:pt idx="0">
                  <c:v>658627.5</c:v>
                </c:pt>
                <c:pt idx="1">
                  <c:v>648592</c:v>
                </c:pt>
                <c:pt idx="2">
                  <c:v>682470.53</c:v>
                </c:pt>
                <c:pt idx="3">
                  <c:v>654762.35</c:v>
                </c:pt>
                <c:pt idx="4">
                  <c:v>675088.63000000012</c:v>
                </c:pt>
                <c:pt idx="5">
                  <c:v>738130.39</c:v>
                </c:pt>
                <c:pt idx="6">
                  <c:v>757972.45000000007</c:v>
                </c:pt>
                <c:pt idx="7">
                  <c:v>846944.13</c:v>
                </c:pt>
                <c:pt idx="8">
                  <c:v>880652.52000000014</c:v>
                </c:pt>
                <c:pt idx="9">
                  <c:v>853362.1100000001</c:v>
                </c:pt>
                <c:pt idx="10">
                  <c:v>890581.28</c:v>
                </c:pt>
                <c:pt idx="11">
                  <c:v>848319.48999999987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'FY2011'!$B$85:$B$96</c:f>
              <c:numCache>
                <c:formatCode>"$"#,##0</c:formatCode>
                <c:ptCount val="12"/>
                <c:pt idx="0">
                  <c:v>650582.87</c:v>
                </c:pt>
                <c:pt idx="1">
                  <c:v>586329.14000000013</c:v>
                </c:pt>
                <c:pt idx="2">
                  <c:v>660166.44999999995</c:v>
                </c:pt>
                <c:pt idx="3">
                  <c:v>585522.64</c:v>
                </c:pt>
                <c:pt idx="4">
                  <c:v>608020.66999999993</c:v>
                </c:pt>
                <c:pt idx="5">
                  <c:v>702297.44</c:v>
                </c:pt>
                <c:pt idx="6">
                  <c:v>693580</c:v>
                </c:pt>
                <c:pt idx="7">
                  <c:v>717799.28</c:v>
                </c:pt>
                <c:pt idx="8">
                  <c:v>751491.67</c:v>
                </c:pt>
                <c:pt idx="9">
                  <c:v>770050.96</c:v>
                </c:pt>
                <c:pt idx="10">
                  <c:v>729298.57000000007</c:v>
                </c:pt>
                <c:pt idx="11">
                  <c:v>700181.32000000007</c:v>
                </c:pt>
              </c:numCache>
            </c:numRef>
          </c:val>
          <c:smooth val="0"/>
        </c:ser>
        <c:ser>
          <c:idx val="5"/>
          <c:order val="5"/>
          <c:tx>
            <c:v>Credit 2016</c:v>
          </c:tx>
          <c:val>
            <c:numRef>
              <c:f>'FY2016'!$B$76:$B$87</c:f>
              <c:numCache>
                <c:formatCode>"$"#,##0</c:formatCode>
                <c:ptCount val="12"/>
                <c:pt idx="0">
                  <c:v>1128174.7300000002</c:v>
                </c:pt>
                <c:pt idx="1">
                  <c:v>937151.09000000008</c:v>
                </c:pt>
                <c:pt idx="2">
                  <c:v>1040318.2200000003</c:v>
                </c:pt>
                <c:pt idx="3">
                  <c:v>1014600.2299999996</c:v>
                </c:pt>
                <c:pt idx="4">
                  <c:v>1000146.1700000002</c:v>
                </c:pt>
                <c:pt idx="5">
                  <c:v>1116690.0399999998</c:v>
                </c:pt>
                <c:pt idx="6">
                  <c:v>1162892.6299999999</c:v>
                </c:pt>
                <c:pt idx="7">
                  <c:v>1174372.3199999998</c:v>
                </c:pt>
                <c:pt idx="8">
                  <c:v>1247702.57</c:v>
                </c:pt>
                <c:pt idx="9">
                  <c:v>1265245.6600000001</c:v>
                </c:pt>
                <c:pt idx="10">
                  <c:v>1245977.9500000002</c:v>
                </c:pt>
                <c:pt idx="11">
                  <c:v>1237440.43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04320"/>
        <c:axId val="38505856"/>
      </c:lineChart>
      <c:dateAx>
        <c:axId val="385043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058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8505856"/>
        <c:scaling>
          <c:orientation val="minMax"/>
          <c:max val="1300000"/>
          <c:min val="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04320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3633484027424332E-2"/>
          <c:y val="0.8534925196850397"/>
          <c:w val="0.90747740924398967"/>
          <c:h val="0.14650735091679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Terminals</a:t>
            </a:r>
            <a:r>
              <a:rPr lang="en-US" baseline="0"/>
              <a:t> on File</a:t>
            </a:r>
            <a:r>
              <a:rPr lang="en-US"/>
              <a:t>
FY2015 Trend</a:t>
            </a:r>
          </a:p>
        </c:rich>
      </c:tx>
      <c:layout>
        <c:manualLayout>
          <c:xMode val="edge"/>
          <c:yMode val="edge"/>
          <c:x val="0.37659666464012237"/>
          <c:y val="3.8596676188147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2"/>
          <c:y val="0.30526420389325226"/>
          <c:w val="0.81274979452289908"/>
          <c:h val="0.40701893852432336"/>
        </c:manualLayout>
      </c:layout>
      <c:lineChart>
        <c:grouping val="standard"/>
        <c:varyColors val="0"/>
        <c:ser>
          <c:idx val="4"/>
          <c:order val="0"/>
          <c:tx>
            <c:v>Active Terminals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'FY2015'!$B$164:$B$175</c:f>
              <c:numCache>
                <c:formatCode>#,##0</c:formatCode>
                <c:ptCount val="12"/>
                <c:pt idx="0">
                  <c:v>9934</c:v>
                </c:pt>
                <c:pt idx="1">
                  <c:v>9572</c:v>
                </c:pt>
                <c:pt idx="2">
                  <c:v>9586</c:v>
                </c:pt>
                <c:pt idx="3">
                  <c:v>9525</c:v>
                </c:pt>
                <c:pt idx="4">
                  <c:v>9462</c:v>
                </c:pt>
                <c:pt idx="5">
                  <c:v>9489</c:v>
                </c:pt>
                <c:pt idx="6">
                  <c:v>9598</c:v>
                </c:pt>
                <c:pt idx="7">
                  <c:v>9546</c:v>
                </c:pt>
                <c:pt idx="8">
                  <c:v>9685</c:v>
                </c:pt>
                <c:pt idx="9">
                  <c:v>10029</c:v>
                </c:pt>
                <c:pt idx="10">
                  <c:v>10544</c:v>
                </c:pt>
                <c:pt idx="11">
                  <c:v>11069</c:v>
                </c:pt>
              </c:numCache>
            </c:numRef>
          </c:val>
          <c:smooth val="0"/>
        </c:ser>
        <c:ser>
          <c:idx val="0"/>
          <c:order val="1"/>
          <c:tx>
            <c:v>Active Terminals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'FY2014'!$B$164:$B$175</c:f>
              <c:numCache>
                <c:formatCode>#,##0</c:formatCode>
                <c:ptCount val="12"/>
                <c:pt idx="0">
                  <c:v>8029</c:v>
                </c:pt>
                <c:pt idx="1">
                  <c:v>8036</c:v>
                </c:pt>
                <c:pt idx="2">
                  <c:v>8112</c:v>
                </c:pt>
                <c:pt idx="3">
                  <c:v>8140</c:v>
                </c:pt>
                <c:pt idx="4">
                  <c:v>7941</c:v>
                </c:pt>
                <c:pt idx="5">
                  <c:v>7984</c:v>
                </c:pt>
                <c:pt idx="6">
                  <c:v>8064</c:v>
                </c:pt>
                <c:pt idx="7">
                  <c:v>8091</c:v>
                </c:pt>
                <c:pt idx="8">
                  <c:v>9345</c:v>
                </c:pt>
                <c:pt idx="9">
                  <c:v>9386</c:v>
                </c:pt>
                <c:pt idx="10">
                  <c:v>9419</c:v>
                </c:pt>
                <c:pt idx="11">
                  <c:v>9462</c:v>
                </c:pt>
              </c:numCache>
            </c:numRef>
          </c:val>
          <c:smooth val="0"/>
        </c:ser>
        <c:ser>
          <c:idx val="3"/>
          <c:order val="2"/>
          <c:tx>
            <c:v>Active Terminals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'FY2013'!$B$164:$B$175</c:f>
              <c:numCache>
                <c:formatCode>#,##0</c:formatCode>
                <c:ptCount val="12"/>
                <c:pt idx="0">
                  <c:v>7236</c:v>
                </c:pt>
                <c:pt idx="1">
                  <c:v>7267</c:v>
                </c:pt>
                <c:pt idx="2">
                  <c:v>7362</c:v>
                </c:pt>
                <c:pt idx="3">
                  <c:v>7550</c:v>
                </c:pt>
                <c:pt idx="4">
                  <c:v>7572</c:v>
                </c:pt>
                <c:pt idx="5">
                  <c:v>7487</c:v>
                </c:pt>
                <c:pt idx="6">
                  <c:v>7554</c:v>
                </c:pt>
                <c:pt idx="7">
                  <c:v>7598</c:v>
                </c:pt>
                <c:pt idx="8">
                  <c:v>7648</c:v>
                </c:pt>
                <c:pt idx="9">
                  <c:v>7877</c:v>
                </c:pt>
                <c:pt idx="10">
                  <c:v>7935</c:v>
                </c:pt>
                <c:pt idx="11">
                  <c:v>8032</c:v>
                </c:pt>
              </c:numCache>
            </c:numRef>
          </c:val>
          <c:smooth val="0"/>
        </c:ser>
        <c:ser>
          <c:idx val="2"/>
          <c:order val="3"/>
          <c:tx>
            <c:v>Active Terminals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'FY2012'!$B$172:$B$183</c:f>
              <c:numCache>
                <c:formatCode>#,##0</c:formatCode>
                <c:ptCount val="12"/>
                <c:pt idx="0">
                  <c:v>6478</c:v>
                </c:pt>
                <c:pt idx="1">
                  <c:v>6489</c:v>
                </c:pt>
                <c:pt idx="2">
                  <c:v>6525</c:v>
                </c:pt>
                <c:pt idx="3">
                  <c:v>6618</c:v>
                </c:pt>
                <c:pt idx="4">
                  <c:v>6778</c:v>
                </c:pt>
                <c:pt idx="5">
                  <c:v>6815</c:v>
                </c:pt>
                <c:pt idx="6">
                  <c:v>6856</c:v>
                </c:pt>
                <c:pt idx="7">
                  <c:v>6922</c:v>
                </c:pt>
                <c:pt idx="8">
                  <c:v>6969</c:v>
                </c:pt>
                <c:pt idx="9">
                  <c:v>6988</c:v>
                </c:pt>
                <c:pt idx="10">
                  <c:v>7051</c:v>
                </c:pt>
                <c:pt idx="11">
                  <c:v>7139</c:v>
                </c:pt>
              </c:numCache>
            </c:numRef>
          </c:val>
          <c:smooth val="0"/>
        </c:ser>
        <c:ser>
          <c:idx val="1"/>
          <c:order val="4"/>
          <c:tx>
            <c:v>Active Terminals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'FY2011'!$B$173:$B$184</c:f>
              <c:numCache>
                <c:formatCode>#,##0</c:formatCode>
                <c:ptCount val="12"/>
                <c:pt idx="0">
                  <c:v>5829</c:v>
                </c:pt>
                <c:pt idx="1">
                  <c:v>5890</c:v>
                </c:pt>
                <c:pt idx="2">
                  <c:v>5909</c:v>
                </c:pt>
                <c:pt idx="3">
                  <c:v>5961</c:v>
                </c:pt>
                <c:pt idx="4">
                  <c:v>6024</c:v>
                </c:pt>
                <c:pt idx="5">
                  <c:v>6130</c:v>
                </c:pt>
                <c:pt idx="6">
                  <c:v>6169</c:v>
                </c:pt>
                <c:pt idx="7">
                  <c:v>6236</c:v>
                </c:pt>
                <c:pt idx="8">
                  <c:v>6324</c:v>
                </c:pt>
                <c:pt idx="9">
                  <c:v>6360</c:v>
                </c:pt>
                <c:pt idx="10">
                  <c:v>6392</c:v>
                </c:pt>
                <c:pt idx="11">
                  <c:v>6455</c:v>
                </c:pt>
              </c:numCache>
            </c:numRef>
          </c:val>
          <c:smooth val="0"/>
        </c:ser>
        <c:ser>
          <c:idx val="5"/>
          <c:order val="5"/>
          <c:tx>
            <c:v>Active Terminals 2016</c:v>
          </c:tx>
          <c:val>
            <c:numRef>
              <c:f>'FY2016'!$B$187:$B$198</c:f>
              <c:numCache>
                <c:formatCode>#,##0</c:formatCode>
                <c:ptCount val="12"/>
                <c:pt idx="0">
                  <c:v>8618</c:v>
                </c:pt>
                <c:pt idx="1">
                  <c:v>8665</c:v>
                </c:pt>
                <c:pt idx="2">
                  <c:v>8671</c:v>
                </c:pt>
                <c:pt idx="3">
                  <c:v>8718</c:v>
                </c:pt>
                <c:pt idx="4">
                  <c:v>9565</c:v>
                </c:pt>
                <c:pt idx="5">
                  <c:v>9801</c:v>
                </c:pt>
                <c:pt idx="6">
                  <c:v>9903</c:v>
                </c:pt>
                <c:pt idx="7">
                  <c:v>9955</c:v>
                </c:pt>
                <c:pt idx="8">
                  <c:v>9940</c:v>
                </c:pt>
                <c:pt idx="9">
                  <c:v>9974</c:v>
                </c:pt>
                <c:pt idx="10">
                  <c:v>10174</c:v>
                </c:pt>
                <c:pt idx="11">
                  <c:v>10163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86080"/>
        <c:axId val="38691968"/>
      </c:lineChart>
      <c:dateAx>
        <c:axId val="386860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919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8691968"/>
        <c:scaling>
          <c:orientation val="minMax"/>
          <c:max val="11000"/>
          <c:min val="5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86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208253786498341E-2"/>
          <c:y val="0.85936045264490724"/>
          <c:w val="0.63720844312126068"/>
          <c:h val="0.140639666328837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landscape" horizontalDpi="-3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Chargebacks 
FY2015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4"/>
          <c:y val="0.30526420389325243"/>
          <c:w val="0.81274979452289953"/>
          <c:h val="0.40701893852432336"/>
        </c:manualLayout>
      </c:layout>
      <c:lineChart>
        <c:grouping val="standard"/>
        <c:varyColors val="0"/>
        <c:ser>
          <c:idx val="4"/>
          <c:order val="0"/>
          <c:tx>
            <c:v>Chargebacks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'FY2015'!$D$183:$D$194</c:f>
              <c:numCache>
                <c:formatCode>0.000%</c:formatCode>
                <c:ptCount val="12"/>
                <c:pt idx="0">
                  <c:v>1.2497390616726873E-4</c:v>
                </c:pt>
                <c:pt idx="1">
                  <c:v>1.0759649630299663E-4</c:v>
                </c:pt>
                <c:pt idx="2">
                  <c:v>1.1024112166822964E-4</c:v>
                </c:pt>
                <c:pt idx="3">
                  <c:v>1.4585993566019109E-4</c:v>
                </c:pt>
                <c:pt idx="4">
                  <c:v>1.0519907245753987E-4</c:v>
                </c:pt>
                <c:pt idx="5">
                  <c:v>9.9374582912791157E-5</c:v>
                </c:pt>
                <c:pt idx="6">
                  <c:v>1.1152391171683766E-4</c:v>
                </c:pt>
                <c:pt idx="7">
                  <c:v>1.0206055144101024E-4</c:v>
                </c:pt>
                <c:pt idx="8">
                  <c:v>1.0968784812305727E-4</c:v>
                </c:pt>
                <c:pt idx="9">
                  <c:v>1.1128850791787818E-4</c:v>
                </c:pt>
                <c:pt idx="10">
                  <c:v>1.0536657141892656E-4</c:v>
                </c:pt>
                <c:pt idx="11">
                  <c:v>1.0522631059634236E-4</c:v>
                </c:pt>
              </c:numCache>
            </c:numRef>
          </c:val>
          <c:smooth val="0"/>
        </c:ser>
        <c:ser>
          <c:idx val="0"/>
          <c:order val="1"/>
          <c:tx>
            <c:v>Chargebacks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'FY2014'!$D$183:$D$194</c:f>
              <c:numCache>
                <c:formatCode>0.000%</c:formatCode>
                <c:ptCount val="12"/>
                <c:pt idx="0">
                  <c:v>1.7077472957276199E-4</c:v>
                </c:pt>
                <c:pt idx="1">
                  <c:v>1.3528368925368712E-4</c:v>
                </c:pt>
                <c:pt idx="2">
                  <c:v>1.1907405226935713E-4</c:v>
                </c:pt>
                <c:pt idx="3">
                  <c:v>1.0923722541124445E-4</c:v>
                </c:pt>
                <c:pt idx="4">
                  <c:v>1.0947163666828604E-4</c:v>
                </c:pt>
                <c:pt idx="5">
                  <c:v>9.6296885688427141E-5</c:v>
                </c:pt>
                <c:pt idx="6">
                  <c:v>9.2512183673466544E-5</c:v>
                </c:pt>
                <c:pt idx="7">
                  <c:v>8.8195643135229119E-5</c:v>
                </c:pt>
                <c:pt idx="8">
                  <c:v>9.3151653611836383E-5</c:v>
                </c:pt>
                <c:pt idx="9">
                  <c:v>9.9315396871056994E-5</c:v>
                </c:pt>
                <c:pt idx="10">
                  <c:v>1.1597803151609475E-4</c:v>
                </c:pt>
                <c:pt idx="11">
                  <c:v>2.0656816106438838E-4</c:v>
                </c:pt>
              </c:numCache>
            </c:numRef>
          </c:val>
          <c:smooth val="0"/>
        </c:ser>
        <c:ser>
          <c:idx val="3"/>
          <c:order val="2"/>
          <c:tx>
            <c:v>Chargebacks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'FY2013'!$D$183:$D$194</c:f>
              <c:numCache>
                <c:formatCode>0.000%</c:formatCode>
                <c:ptCount val="12"/>
                <c:pt idx="0">
                  <c:v>1.0486307296439755E-4</c:v>
                </c:pt>
                <c:pt idx="1">
                  <c:v>1.1107161148028074E-4</c:v>
                </c:pt>
                <c:pt idx="2">
                  <c:v>9.0064904618031169E-5</c:v>
                </c:pt>
                <c:pt idx="3">
                  <c:v>8.6362032476852056E-5</c:v>
                </c:pt>
                <c:pt idx="4">
                  <c:v>8.5418208369506031E-5</c:v>
                </c:pt>
                <c:pt idx="5">
                  <c:v>9.1691430245138399E-5</c:v>
                </c:pt>
                <c:pt idx="6">
                  <c:v>9.9027995214247071E-5</c:v>
                </c:pt>
                <c:pt idx="7">
                  <c:v>1.0155601781582713E-4</c:v>
                </c:pt>
                <c:pt idx="8">
                  <c:v>1.1214973061774022E-4</c:v>
                </c:pt>
                <c:pt idx="9">
                  <c:v>1.1377484896033255E-4</c:v>
                </c:pt>
                <c:pt idx="10">
                  <c:v>1.1682588671825058E-4</c:v>
                </c:pt>
                <c:pt idx="11">
                  <c:v>1.1082111627398018E-4</c:v>
                </c:pt>
              </c:numCache>
            </c:numRef>
          </c:val>
          <c:smooth val="0"/>
        </c:ser>
        <c:ser>
          <c:idx val="2"/>
          <c:order val="3"/>
          <c:tx>
            <c:v>Chargebacks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'FY2012'!$D$191:$D$202</c:f>
              <c:numCache>
                <c:formatCode>0.000%</c:formatCode>
                <c:ptCount val="12"/>
                <c:pt idx="0">
                  <c:v>1.2299111042949598E-4</c:v>
                </c:pt>
                <c:pt idx="1">
                  <c:v>1.124799688992886E-4</c:v>
                </c:pt>
                <c:pt idx="2">
                  <c:v>1.0035105976800997E-4</c:v>
                </c:pt>
                <c:pt idx="3">
                  <c:v>9.4190644560566099E-5</c:v>
                </c:pt>
                <c:pt idx="4">
                  <c:v>1.1136247834505249E-4</c:v>
                </c:pt>
                <c:pt idx="5">
                  <c:v>1.0418383443599463E-4</c:v>
                </c:pt>
                <c:pt idx="6">
                  <c:v>9.0401985420540391E-5</c:v>
                </c:pt>
                <c:pt idx="7">
                  <c:v>1.0284910383535328E-4</c:v>
                </c:pt>
                <c:pt idx="8">
                  <c:v>9.6117283320869005E-5</c:v>
                </c:pt>
                <c:pt idx="9">
                  <c:v>9.8105899249097166E-5</c:v>
                </c:pt>
                <c:pt idx="10">
                  <c:v>1.181089282466441E-4</c:v>
                </c:pt>
                <c:pt idx="11">
                  <c:v>1.2147606992415002E-4</c:v>
                </c:pt>
              </c:numCache>
            </c:numRef>
          </c:val>
          <c:smooth val="0"/>
        </c:ser>
        <c:ser>
          <c:idx val="1"/>
          <c:order val="4"/>
          <c:tx>
            <c:v>Chargebacks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'FY2011'!$D$192:$D$203</c:f>
              <c:numCache>
                <c:formatCode>0.000%</c:formatCode>
                <c:ptCount val="12"/>
                <c:pt idx="0">
                  <c:v>1.6668182511647556E-4</c:v>
                </c:pt>
                <c:pt idx="1">
                  <c:v>1.3219643123358457E-4</c:v>
                </c:pt>
                <c:pt idx="2">
                  <c:v>1.2416271732553868E-4</c:v>
                </c:pt>
                <c:pt idx="3">
                  <c:v>1.1326532420463537E-4</c:v>
                </c:pt>
                <c:pt idx="4">
                  <c:v>1.0444869855289592E-4</c:v>
                </c:pt>
                <c:pt idx="5">
                  <c:v>1.3526780912647524E-4</c:v>
                </c:pt>
                <c:pt idx="6">
                  <c:v>1.2337250423960215E-4</c:v>
                </c:pt>
                <c:pt idx="7">
                  <c:v>1.0634645098525457E-4</c:v>
                </c:pt>
                <c:pt idx="8">
                  <c:v>1.1341538476629074E-4</c:v>
                </c:pt>
                <c:pt idx="9">
                  <c:v>9.8881225391062833E-5</c:v>
                </c:pt>
                <c:pt idx="10">
                  <c:v>1.2891403245224322E-4</c:v>
                </c:pt>
                <c:pt idx="11">
                  <c:v>1.0362123951339337E-4</c:v>
                </c:pt>
              </c:numCache>
            </c:numRef>
          </c:val>
          <c:smooth val="0"/>
        </c:ser>
        <c:ser>
          <c:idx val="5"/>
          <c:order val="5"/>
          <c:tx>
            <c:v>Chargebacks 2016</c:v>
          </c:tx>
          <c:val>
            <c:numRef>
              <c:f>'FY2016'!$D$215:$D$226</c:f>
              <c:numCache>
                <c:formatCode>0.000%</c:formatCode>
                <c:ptCount val="12"/>
                <c:pt idx="0">
                  <c:v>9.2476046807267752E-5</c:v>
                </c:pt>
                <c:pt idx="1">
                  <c:v>9.670039105278883E-5</c:v>
                </c:pt>
                <c:pt idx="2">
                  <c:v>1.0117303902050085E-4</c:v>
                </c:pt>
                <c:pt idx="3">
                  <c:v>1.0424274920289645E-4</c:v>
                </c:pt>
                <c:pt idx="4">
                  <c:v>1.1351155333492003E-4</c:v>
                </c:pt>
                <c:pt idx="5">
                  <c:v>1.0683135192359809E-4</c:v>
                </c:pt>
                <c:pt idx="6">
                  <c:v>8.8359606994313508E-5</c:v>
                </c:pt>
                <c:pt idx="7">
                  <c:v>9.9414919923847934E-5</c:v>
                </c:pt>
                <c:pt idx="8">
                  <c:v>1.1162784287806897E-4</c:v>
                </c:pt>
                <c:pt idx="9">
                  <c:v>1.1121623803032366E-4</c:v>
                </c:pt>
                <c:pt idx="10">
                  <c:v>1.2238169730335199E-4</c:v>
                </c:pt>
                <c:pt idx="11">
                  <c:v>1.1543406476516999E-4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3088"/>
        <c:axId val="38554240"/>
      </c:lineChart>
      <c:dateAx>
        <c:axId val="385530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542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8554240"/>
        <c:scaling>
          <c:orientation val="minMax"/>
          <c:max val="1.8000000000000297E-4"/>
          <c:min val="6.0000000000001106E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53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76901351124706E-2"/>
          <c:y val="0.86223130499694056"/>
          <c:w val="0.89288991217616931"/>
          <c:h val="0.137768857324207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landscape" horizontalDpi="-3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 Cost Per Transaction
FY2015 Trend</a:t>
            </a:r>
          </a:p>
        </c:rich>
      </c:tx>
      <c:layout>
        <c:manualLayout>
          <c:xMode val="edge"/>
          <c:yMode val="edge"/>
          <c:x val="0.31325301204819223"/>
          <c:y val="3.6630074525356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460536442200781"/>
          <c:w val="0.80971659919028338"/>
          <c:h val="0.3931534354749168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'FY2015'!$B$111:$B$122</c:f>
              <c:numCache>
                <c:formatCode>"$"#,##0.00</c:formatCode>
                <c:ptCount val="12"/>
                <c:pt idx="0">
                  <c:v>1.7425857944483383</c:v>
                </c:pt>
                <c:pt idx="1">
                  <c:v>1.6972236002124377</c:v>
                </c:pt>
                <c:pt idx="2">
                  <c:v>1.7380502347681444</c:v>
                </c:pt>
                <c:pt idx="3">
                  <c:v>1.6316404017294175</c:v>
                </c:pt>
                <c:pt idx="4">
                  <c:v>1.5827885185284665</c:v>
                </c:pt>
                <c:pt idx="5">
                  <c:v>1.5746962885200244</c:v>
                </c:pt>
                <c:pt idx="6">
                  <c:v>1.6569268908644719</c:v>
                </c:pt>
                <c:pt idx="7">
                  <c:v>1.6811977086097731</c:v>
                </c:pt>
                <c:pt idx="8">
                  <c:v>1.6541467078716525</c:v>
                </c:pt>
                <c:pt idx="9">
                  <c:v>1.6343373678807964</c:v>
                </c:pt>
                <c:pt idx="10">
                  <c:v>1.6988858992968612</c:v>
                </c:pt>
                <c:pt idx="11">
                  <c:v>1.7126530249656031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'FY2014'!$B$111:$B$122</c:f>
              <c:numCache>
                <c:formatCode>"$"#,##0.00</c:formatCode>
                <c:ptCount val="12"/>
                <c:pt idx="0">
                  <c:v>1.8246882156482722</c:v>
                </c:pt>
                <c:pt idx="1">
                  <c:v>1.781277932788107</c:v>
                </c:pt>
                <c:pt idx="2">
                  <c:v>1.8042151417354886</c:v>
                </c:pt>
                <c:pt idx="3">
                  <c:v>1.6672149302927084</c:v>
                </c:pt>
                <c:pt idx="4">
                  <c:v>1.6311081526877691</c:v>
                </c:pt>
                <c:pt idx="5">
                  <c:v>1.5954719165948072</c:v>
                </c:pt>
                <c:pt idx="6">
                  <c:v>1.6537493752989405</c:v>
                </c:pt>
                <c:pt idx="7">
                  <c:v>1.703822263895953</c:v>
                </c:pt>
                <c:pt idx="8">
                  <c:v>1.6974769310269802</c:v>
                </c:pt>
                <c:pt idx="9">
                  <c:v>1.6312560476663103</c:v>
                </c:pt>
                <c:pt idx="10">
                  <c:v>1.8566014682638179</c:v>
                </c:pt>
                <c:pt idx="11">
                  <c:v>1.6819325850253344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'FY2013'!$B$111:$B$122</c:f>
              <c:numCache>
                <c:formatCode>"$"#,##0.00</c:formatCode>
                <c:ptCount val="12"/>
                <c:pt idx="0">
                  <c:v>1.7159501721368904</c:v>
                </c:pt>
                <c:pt idx="1">
                  <c:v>1.8778543648611281</c:v>
                </c:pt>
                <c:pt idx="2">
                  <c:v>1.9204200089145527</c:v>
                </c:pt>
                <c:pt idx="3">
                  <c:v>1.8671037735953127</c:v>
                </c:pt>
                <c:pt idx="4">
                  <c:v>1.7733051655840182</c:v>
                </c:pt>
                <c:pt idx="5">
                  <c:v>1.7696216851515925</c:v>
                </c:pt>
                <c:pt idx="6">
                  <c:v>1.8451038878691006</c:v>
                </c:pt>
                <c:pt idx="7">
                  <c:v>1.8436431003739613</c:v>
                </c:pt>
                <c:pt idx="8">
                  <c:v>1.822458092223022</c:v>
                </c:pt>
                <c:pt idx="9">
                  <c:v>1.8609606337600413</c:v>
                </c:pt>
                <c:pt idx="10">
                  <c:v>1.8116856830922654</c:v>
                </c:pt>
                <c:pt idx="11">
                  <c:v>1.914673422569906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'FY2012'!$B$119:$B$130</c:f>
              <c:numCache>
                <c:formatCode>"$"#,##0.00</c:formatCode>
                <c:ptCount val="12"/>
                <c:pt idx="0">
                  <c:v>1.7303298030823877</c:v>
                </c:pt>
                <c:pt idx="1">
                  <c:v>1.8073209239807644</c:v>
                </c:pt>
                <c:pt idx="2">
                  <c:v>1.8300065768800617</c:v>
                </c:pt>
                <c:pt idx="3">
                  <c:v>1.6932617377718975</c:v>
                </c:pt>
                <c:pt idx="4">
                  <c:v>1.654120176908183</c:v>
                </c:pt>
                <c:pt idx="5">
                  <c:v>1.6592068196265866</c:v>
                </c:pt>
                <c:pt idx="6">
                  <c:v>1.6764331686596075</c:v>
                </c:pt>
                <c:pt idx="7">
                  <c:v>1.7323417243415151</c:v>
                </c:pt>
                <c:pt idx="8">
                  <c:v>1.7837040059828793</c:v>
                </c:pt>
                <c:pt idx="9">
                  <c:v>1.7426475354927007</c:v>
                </c:pt>
                <c:pt idx="10">
                  <c:v>1.8272657571950719</c:v>
                </c:pt>
                <c:pt idx="11">
                  <c:v>1.8570606135614309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'FY2011'!$B$120:$B$131</c:f>
              <c:numCache>
                <c:formatCode>"$"#,##0.00</c:formatCode>
                <c:ptCount val="12"/>
                <c:pt idx="0">
                  <c:v>2.0912740047499661</c:v>
                </c:pt>
                <c:pt idx="1">
                  <c:v>1.883362553413402</c:v>
                </c:pt>
                <c:pt idx="2">
                  <c:v>2.0423524865351421</c:v>
                </c:pt>
                <c:pt idx="3">
                  <c:v>1.8067210364580983</c:v>
                </c:pt>
                <c:pt idx="4">
                  <c:v>1.7727786871705264</c:v>
                </c:pt>
                <c:pt idx="5">
                  <c:v>1.8015620410346795</c:v>
                </c:pt>
                <c:pt idx="6">
                  <c:v>1.9172412339342038</c:v>
                </c:pt>
                <c:pt idx="7">
                  <c:v>1.9014877820803844</c:v>
                </c:pt>
                <c:pt idx="8">
                  <c:v>1.9587075535259311</c:v>
                </c:pt>
                <c:pt idx="9">
                  <c:v>1.8897320698542543</c:v>
                </c:pt>
                <c:pt idx="10">
                  <c:v>1.838689668765515</c:v>
                </c:pt>
                <c:pt idx="11">
                  <c:v>1.9225883068434728</c:v>
                </c:pt>
              </c:numCache>
            </c:numRef>
          </c:val>
          <c:smooth val="0"/>
        </c:ser>
        <c:ser>
          <c:idx val="5"/>
          <c:order val="5"/>
          <c:tx>
            <c:v>Credit 2016</c:v>
          </c:tx>
          <c:val>
            <c:numRef>
              <c:f>'FY2016'!$B$118:$B$129</c:f>
              <c:numCache>
                <c:formatCode>"$"#,##0.00</c:formatCode>
                <c:ptCount val="12"/>
                <c:pt idx="0">
                  <c:v>1.7133547968450367</c:v>
                </c:pt>
                <c:pt idx="1">
                  <c:v>1.7193193864225462</c:v>
                </c:pt>
                <c:pt idx="2">
                  <c:v>1.8261677135766317</c:v>
                </c:pt>
                <c:pt idx="3">
                  <c:v>1.7068831140746978</c:v>
                </c:pt>
                <c:pt idx="4">
                  <c:v>1.6217632187429403</c:v>
                </c:pt>
                <c:pt idx="5">
                  <c:v>1.611202059129041</c:v>
                </c:pt>
                <c:pt idx="6">
                  <c:v>1.7321021382529187</c:v>
                </c:pt>
                <c:pt idx="7">
                  <c:v>1.671619860499266</c:v>
                </c:pt>
                <c:pt idx="8">
                  <c:v>1.7068337072444979</c:v>
                </c:pt>
                <c:pt idx="9">
                  <c:v>1.6684753138440662</c:v>
                </c:pt>
                <c:pt idx="10">
                  <c:v>1.6668283078207979</c:v>
                </c:pt>
                <c:pt idx="11">
                  <c:v>1.775834908321797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5200"/>
        <c:axId val="39391616"/>
      </c:lineChart>
      <c:dateAx>
        <c:axId val="385952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916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9391616"/>
        <c:scaling>
          <c:orientation val="minMax"/>
          <c:max val="2.5"/>
          <c:min val="1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95200"/>
        <c:crosses val="autoZero"/>
        <c:crossBetween val="between"/>
        <c:majorUnit val="0.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716766933166113E-2"/>
          <c:y val="0.85271413302478793"/>
          <c:w val="0.90697100665348829"/>
          <c:h val="0.14728597949646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FY2015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51"/>
          <c:w val="0.81174089068826882"/>
          <c:h val="0.4002372811591495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'FY2015'!$B$128:$B$139</c:f>
              <c:numCache>
                <c:formatCode>"$"#,##0.000</c:formatCode>
                <c:ptCount val="12"/>
                <c:pt idx="0">
                  <c:v>0.13085534270361138</c:v>
                </c:pt>
                <c:pt idx="1">
                  <c:v>0.13013736383992461</c:v>
                </c:pt>
                <c:pt idx="2">
                  <c:v>0.13439394430272564</c:v>
                </c:pt>
                <c:pt idx="3">
                  <c:v>0.13582039487258429</c:v>
                </c:pt>
                <c:pt idx="4">
                  <c:v>0.14034028990178438</c:v>
                </c:pt>
                <c:pt idx="5">
                  <c:v>0.1347362594712784</c:v>
                </c:pt>
                <c:pt idx="6">
                  <c:v>0.13675718690834354</c:v>
                </c:pt>
                <c:pt idx="7">
                  <c:v>0.13907901006997439</c:v>
                </c:pt>
                <c:pt idx="8">
                  <c:v>0.13997963029198587</c:v>
                </c:pt>
                <c:pt idx="9">
                  <c:v>0.13515106038801633</c:v>
                </c:pt>
                <c:pt idx="10">
                  <c:v>0.14257378638559648</c:v>
                </c:pt>
                <c:pt idx="11">
                  <c:v>0.14271846753477493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'FY2014'!$B$128:$B$139</c:f>
              <c:numCache>
                <c:formatCode>"$"#,##0.000</c:formatCode>
                <c:ptCount val="12"/>
                <c:pt idx="0">
                  <c:v>0.13603465799063749</c:v>
                </c:pt>
                <c:pt idx="1">
                  <c:v>0.13556923905977514</c:v>
                </c:pt>
                <c:pt idx="2">
                  <c:v>0.13755745572130895</c:v>
                </c:pt>
                <c:pt idx="3">
                  <c:v>0.13015898535930095</c:v>
                </c:pt>
                <c:pt idx="4">
                  <c:v>0.13012209533520996</c:v>
                </c:pt>
                <c:pt idx="5">
                  <c:v>0.12754126216117204</c:v>
                </c:pt>
                <c:pt idx="6">
                  <c:v>0.12958293445581451</c:v>
                </c:pt>
                <c:pt idx="7">
                  <c:v>0.13546776382930897</c:v>
                </c:pt>
                <c:pt idx="8">
                  <c:v>0.13117786662315056</c:v>
                </c:pt>
                <c:pt idx="9">
                  <c:v>0.12930807013800655</c:v>
                </c:pt>
                <c:pt idx="10">
                  <c:v>0.13166474402010042</c:v>
                </c:pt>
                <c:pt idx="11">
                  <c:v>0.1355854363512207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'FY2013'!$B$128:$B$139</c:f>
              <c:numCache>
                <c:formatCode>"$"#,##0.000</c:formatCode>
                <c:ptCount val="12"/>
                <c:pt idx="0">
                  <c:v>0.1324117323875196</c:v>
                </c:pt>
                <c:pt idx="1">
                  <c:v>0.13314241338693128</c:v>
                </c:pt>
                <c:pt idx="2">
                  <c:v>0.13592377648785006</c:v>
                </c:pt>
                <c:pt idx="3">
                  <c:v>0.13027852228258635</c:v>
                </c:pt>
                <c:pt idx="4">
                  <c:v>0.12791124555353051</c:v>
                </c:pt>
                <c:pt idx="5">
                  <c:v>0.12607106784581182</c:v>
                </c:pt>
                <c:pt idx="6">
                  <c:v>0.1262287138574075</c:v>
                </c:pt>
                <c:pt idx="7">
                  <c:v>0.12503046611448751</c:v>
                </c:pt>
                <c:pt idx="8">
                  <c:v>0.13011263873130652</c:v>
                </c:pt>
                <c:pt idx="9">
                  <c:v>0.13239724744507911</c:v>
                </c:pt>
                <c:pt idx="10">
                  <c:v>0.13241759657467059</c:v>
                </c:pt>
                <c:pt idx="11">
                  <c:v>0.13551222682401085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'FY2012'!$B$136:$B$147</c:f>
              <c:numCache>
                <c:formatCode>"$"#,##0.000</c:formatCode>
                <c:ptCount val="12"/>
                <c:pt idx="0">
                  <c:v>0.10991224909688312</c:v>
                </c:pt>
                <c:pt idx="1">
                  <c:v>0.11399001248176155</c:v>
                </c:pt>
                <c:pt idx="2">
                  <c:v>0.11529737532985765</c:v>
                </c:pt>
                <c:pt idx="3">
                  <c:v>0.11032645399014486</c:v>
                </c:pt>
                <c:pt idx="4">
                  <c:v>0.11007253724650976</c:v>
                </c:pt>
                <c:pt idx="5">
                  <c:v>0.10861759088126574</c:v>
                </c:pt>
                <c:pt idx="6">
                  <c:v>0.11793840684005384</c:v>
                </c:pt>
                <c:pt idx="7">
                  <c:v>0.11965308347405625</c:v>
                </c:pt>
                <c:pt idx="8">
                  <c:v>0.12375135639192583</c:v>
                </c:pt>
                <c:pt idx="9">
                  <c:v>0.12186296533720084</c:v>
                </c:pt>
                <c:pt idx="10">
                  <c:v>0.12537020321492784</c:v>
                </c:pt>
                <c:pt idx="11">
                  <c:v>0.13383184114968738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'FY2011'!$B$137:$B$148</c:f>
              <c:numCache>
                <c:formatCode>"$"#,##0.000</c:formatCode>
                <c:ptCount val="12"/>
                <c:pt idx="0">
                  <c:v>0.119296303807607</c:v>
                </c:pt>
                <c:pt idx="1">
                  <c:v>0.11249727117018403</c:v>
                </c:pt>
                <c:pt idx="2">
                  <c:v>0.11966140192577281</c:v>
                </c:pt>
                <c:pt idx="3">
                  <c:v>0.10696679298186129</c:v>
                </c:pt>
                <c:pt idx="4">
                  <c:v>0.11025515221312465</c:v>
                </c:pt>
                <c:pt idx="5">
                  <c:v>0.10995166211103263</c:v>
                </c:pt>
                <c:pt idx="6">
                  <c:v>0.11333602846424273</c:v>
                </c:pt>
                <c:pt idx="7">
                  <c:v>0.11410374581131692</c:v>
                </c:pt>
                <c:pt idx="8">
                  <c:v>0.1151766444617735</c:v>
                </c:pt>
                <c:pt idx="9">
                  <c:v>0.11247205692520577</c:v>
                </c:pt>
                <c:pt idx="10">
                  <c:v>0.11099978691895464</c:v>
                </c:pt>
                <c:pt idx="11">
                  <c:v>0.11301192564256064</c:v>
                </c:pt>
              </c:numCache>
            </c:numRef>
          </c:val>
          <c:smooth val="0"/>
        </c:ser>
        <c:ser>
          <c:idx val="5"/>
          <c:order val="5"/>
          <c:tx>
            <c:v>Credit 2016</c:v>
          </c:tx>
          <c:val>
            <c:numRef>
              <c:f>'FY2016'!$B$135:$B$146</c:f>
              <c:numCache>
                <c:formatCode>"$"#,##0.000</c:formatCode>
                <c:ptCount val="12"/>
                <c:pt idx="0">
                  <c:v>0.1475659676637294</c:v>
                </c:pt>
                <c:pt idx="1">
                  <c:v>0.1402830911432621</c:v>
                </c:pt>
                <c:pt idx="2">
                  <c:v>0.14418103543260002</c:v>
                </c:pt>
                <c:pt idx="3">
                  <c:v>0.14064457090038698</c:v>
                </c:pt>
                <c:pt idx="4">
                  <c:v>0.13727708019186338</c:v>
                </c:pt>
                <c:pt idx="5">
                  <c:v>0.1347994425455557</c:v>
                </c:pt>
                <c:pt idx="6">
                  <c:v>0.1441132338897386</c:v>
                </c:pt>
                <c:pt idx="7">
                  <c:v>0.14015621867176892</c:v>
                </c:pt>
                <c:pt idx="8">
                  <c:v>0.14329047987913876</c:v>
                </c:pt>
                <c:pt idx="9">
                  <c:v>0.14536762653863014</c:v>
                </c:pt>
                <c:pt idx="10">
                  <c:v>0.145500855270564</c:v>
                </c:pt>
                <c:pt idx="11">
                  <c:v>0.15260980634579038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32576"/>
        <c:axId val="39434112"/>
      </c:lineChart>
      <c:dateAx>
        <c:axId val="394325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341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9434112"/>
        <c:scaling>
          <c:orientation val="minMax"/>
          <c:max val="0.15000000000000013"/>
          <c:min val="9.0000000000000024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32576"/>
        <c:crosses val="autoZero"/>
        <c:crossBetween val="between"/>
        <c:majorUnit val="1.0000000000000005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602919489411858E-2"/>
          <c:y val="0.84756456692913351"/>
          <c:w val="0.90814423872691585"/>
          <c:h val="0.15243543857717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Sales Dollars
FY2015 Trend</a:t>
            </a:r>
          </a:p>
        </c:rich>
      </c:tx>
      <c:layout>
        <c:manualLayout>
          <c:xMode val="edge"/>
          <c:yMode val="edge"/>
          <c:x val="0.3140000000000038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0000000000041"/>
          <c:y val="0.32089610704311122"/>
          <c:w val="0.72200000000000064"/>
          <c:h val="0.37313500818966294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'FY2015'!$C$9:$C$20</c:f>
              <c:numCache>
                <c:formatCode>_("$"* #,##0_);_("$"* \(#,##0\);_("$"* "-"??_);_(@_)</c:formatCode>
                <c:ptCount val="12"/>
                <c:pt idx="0">
                  <c:v>233811372</c:v>
                </c:pt>
                <c:pt idx="1">
                  <c:v>241843205.16999984</c:v>
                </c:pt>
                <c:pt idx="2">
                  <c:v>204156942.19</c:v>
                </c:pt>
                <c:pt idx="3">
                  <c:v>232141323.19000006</c:v>
                </c:pt>
                <c:pt idx="4">
                  <c:v>217065440.56</c:v>
                </c:pt>
                <c:pt idx="5">
                  <c:v>224415244.11000001</c:v>
                </c:pt>
                <c:pt idx="6">
                  <c:v>219083105.56</c:v>
                </c:pt>
                <c:pt idx="7">
                  <c:v>235653980.90000015</c:v>
                </c:pt>
                <c:pt idx="8">
                  <c:v>206057009.16</c:v>
                </c:pt>
                <c:pt idx="9">
                  <c:v>217376835.73999998</c:v>
                </c:pt>
                <c:pt idx="10">
                  <c:v>227996759.49000019</c:v>
                </c:pt>
                <c:pt idx="11">
                  <c:v>214316897.97000006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'FY2014'!$C$9:$C$20</c:f>
              <c:numCache>
                <c:formatCode>_("$"* #,##0_);_("$"* \(#,##0\);_("$"* "-"??_);_(@_)</c:formatCode>
                <c:ptCount val="12"/>
                <c:pt idx="0">
                  <c:v>196737992</c:v>
                </c:pt>
                <c:pt idx="1">
                  <c:v>243093144</c:v>
                </c:pt>
                <c:pt idx="2">
                  <c:v>222038681</c:v>
                </c:pt>
                <c:pt idx="3">
                  <c:v>224415244</c:v>
                </c:pt>
                <c:pt idx="4">
                  <c:v>218904018</c:v>
                </c:pt>
                <c:pt idx="5">
                  <c:v>237950792</c:v>
                </c:pt>
                <c:pt idx="6">
                  <c:v>220244625</c:v>
                </c:pt>
                <c:pt idx="7">
                  <c:v>233744781</c:v>
                </c:pt>
                <c:pt idx="8">
                  <c:v>217864234</c:v>
                </c:pt>
                <c:pt idx="9">
                  <c:v>216560864</c:v>
                </c:pt>
                <c:pt idx="10">
                  <c:v>245337299</c:v>
                </c:pt>
                <c:pt idx="11">
                  <c:v>214966735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'FY2013'!$C$9:$C$20</c:f>
              <c:numCache>
                <c:formatCode>_("$"* #,##0_);_("$"* \(#,##0\);_("$"* "-"??_);_(@_)</c:formatCode>
                <c:ptCount val="12"/>
                <c:pt idx="0">
                  <c:v>220970227</c:v>
                </c:pt>
                <c:pt idx="1">
                  <c:v>232085939.86000001</c:v>
                </c:pt>
                <c:pt idx="2">
                  <c:v>242619302.84999999</c:v>
                </c:pt>
                <c:pt idx="3">
                  <c:v>218486100</c:v>
                </c:pt>
                <c:pt idx="4">
                  <c:v>224050133.69999999</c:v>
                </c:pt>
                <c:pt idx="5">
                  <c:v>251065328</c:v>
                </c:pt>
                <c:pt idx="6">
                  <c:v>217338571</c:v>
                </c:pt>
                <c:pt idx="7">
                  <c:v>233336216</c:v>
                </c:pt>
                <c:pt idx="8">
                  <c:v>227933502</c:v>
                </c:pt>
                <c:pt idx="9">
                  <c:v>204194734.19</c:v>
                </c:pt>
                <c:pt idx="10">
                  <c:v>234661180</c:v>
                </c:pt>
                <c:pt idx="11">
                  <c:v>221974564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'FY2012'!$C$17:$C$28</c:f>
              <c:numCache>
                <c:formatCode>_("$"* #,##0_);_("$"* \(#,##0\);_("$"* "-"??_);_(@_)</c:formatCode>
                <c:ptCount val="12"/>
                <c:pt idx="0">
                  <c:v>211424832</c:v>
                </c:pt>
                <c:pt idx="1">
                  <c:v>207728753.31</c:v>
                </c:pt>
                <c:pt idx="2">
                  <c:v>221708758</c:v>
                </c:pt>
                <c:pt idx="3">
                  <c:v>205884255</c:v>
                </c:pt>
                <c:pt idx="4">
                  <c:v>211128500</c:v>
                </c:pt>
                <c:pt idx="5">
                  <c:v>220068302.31999999</c:v>
                </c:pt>
                <c:pt idx="6">
                  <c:v>211036392.41</c:v>
                </c:pt>
                <c:pt idx="7">
                  <c:v>218710035</c:v>
                </c:pt>
                <c:pt idx="8">
                  <c:v>220505653</c:v>
                </c:pt>
                <c:pt idx="9">
                  <c:v>211730585</c:v>
                </c:pt>
                <c:pt idx="10">
                  <c:v>224658336.80000001</c:v>
                </c:pt>
                <c:pt idx="11">
                  <c:v>230461236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'FY2011'!$C$18:$C$29</c:f>
              <c:numCache>
                <c:formatCode>_("$"* #,##0_);_("$"* \(#,##0\);_("$"* "-"??_);_(@_)</c:formatCode>
                <c:ptCount val="12"/>
                <c:pt idx="0">
                  <c:v>204861464.94999999</c:v>
                </c:pt>
                <c:pt idx="1">
                  <c:v>194394741.47999999</c:v>
                </c:pt>
                <c:pt idx="2">
                  <c:v>205489113</c:v>
                </c:pt>
                <c:pt idx="3">
                  <c:v>198520610</c:v>
                </c:pt>
                <c:pt idx="4">
                  <c:v>185496077</c:v>
                </c:pt>
                <c:pt idx="5">
                  <c:v>201254413</c:v>
                </c:pt>
                <c:pt idx="6">
                  <c:v>203187477</c:v>
                </c:pt>
                <c:pt idx="7">
                  <c:v>203260624</c:v>
                </c:pt>
                <c:pt idx="8">
                  <c:v>191492037</c:v>
                </c:pt>
                <c:pt idx="9">
                  <c:v>201987028</c:v>
                </c:pt>
                <c:pt idx="10">
                  <c:v>197799494</c:v>
                </c:pt>
                <c:pt idx="11">
                  <c:v>205150436</c:v>
                </c:pt>
              </c:numCache>
            </c:numRef>
          </c:val>
          <c:smooth val="0"/>
        </c:ser>
        <c:ser>
          <c:idx val="5"/>
          <c:order val="5"/>
          <c:tx>
            <c:v>PIN Debit 2016</c:v>
          </c:tx>
          <c:val>
            <c:numRef>
              <c:f>'FY2016'!$C$9:$C$20</c:f>
              <c:numCache>
                <c:formatCode>_("$"* #,##0.00_);_("$"* \(#,##0.00\);_("$"* "-"??_);_(@_)</c:formatCode>
                <c:ptCount val="12"/>
                <c:pt idx="0">
                  <c:v>232309883.70999989</c:v>
                </c:pt>
                <c:pt idx="1">
                  <c:v>229296420.86999965</c:v>
                </c:pt>
                <c:pt idx="2">
                  <c:v>226339943.29999971</c:v>
                </c:pt>
                <c:pt idx="3">
                  <c:v>231144200.97999999</c:v>
                </c:pt>
                <c:pt idx="4">
                  <c:v>219844289.90000001</c:v>
                </c:pt>
                <c:pt idx="5">
                  <c:v>223499110.90000001</c:v>
                </c:pt>
                <c:pt idx="6">
                  <c:v>220092148.91999999</c:v>
                </c:pt>
                <c:pt idx="7">
                  <c:v>214426243.56999999</c:v>
                </c:pt>
                <c:pt idx="8">
                  <c:v>191898844.49000001</c:v>
                </c:pt>
                <c:pt idx="9">
                  <c:v>199462348.24999976</c:v>
                </c:pt>
                <c:pt idx="10">
                  <c:v>192236743.19</c:v>
                </c:pt>
                <c:pt idx="11">
                  <c:v>194860792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44704"/>
        <c:axId val="39546240"/>
      </c:lineChart>
      <c:dateAx>
        <c:axId val="395447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462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9546240"/>
        <c:scaling>
          <c:orientation val="minMax"/>
          <c:min val="18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3395355378309409E-2"/>
              <c:y val="0.488806921948454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44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5964707928810645E-2"/>
          <c:y val="0.82037508947745164"/>
          <c:w val="0.92996772510171899"/>
          <c:h val="0.16507945597709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Number of Transactions
FY2015</a:t>
            </a:r>
            <a:r>
              <a:rPr lang="en-US" baseline="0"/>
              <a:t> </a:t>
            </a:r>
            <a:r>
              <a:rPr lang="en-US"/>
              <a:t>Trend</a:t>
            </a:r>
          </a:p>
        </c:rich>
      </c:tx>
      <c:layout>
        <c:manualLayout>
          <c:xMode val="edge"/>
          <c:yMode val="edge"/>
          <c:x val="0.31388329979879853"/>
          <c:y val="3.7453183520599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75"/>
          <c:w val="0.74446680080482897"/>
          <c:h val="0.37078787302447785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'FY2015'!$C$25:$C$36</c:f>
              <c:numCache>
                <c:formatCode>[Black]#,##0;[Black]\-#,##0</c:formatCode>
                <c:ptCount val="12"/>
                <c:pt idx="0">
                  <c:v>3312611</c:v>
                </c:pt>
                <c:pt idx="1">
                  <c:v>3282201</c:v>
                </c:pt>
                <c:pt idx="2">
                  <c:v>2735486</c:v>
                </c:pt>
                <c:pt idx="3">
                  <c:v>3208287</c:v>
                </c:pt>
                <c:pt idx="4">
                  <c:v>3034091</c:v>
                </c:pt>
                <c:pt idx="5">
                  <c:v>3104244</c:v>
                </c:pt>
                <c:pt idx="6">
                  <c:v>3185402</c:v>
                </c:pt>
                <c:pt idx="7">
                  <c:v>3364797</c:v>
                </c:pt>
                <c:pt idx="8">
                  <c:v>3038079</c:v>
                </c:pt>
                <c:pt idx="9">
                  <c:v>3156518</c:v>
                </c:pt>
                <c:pt idx="10">
                  <c:v>3277573</c:v>
                </c:pt>
                <c:pt idx="11">
                  <c:v>3119420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'FY2014'!$C$25:$C$36</c:f>
              <c:numCache>
                <c:formatCode>[Black]#,##0;[Black]\-#,##0</c:formatCode>
                <c:ptCount val="12"/>
                <c:pt idx="0">
                  <c:v>2747440</c:v>
                </c:pt>
                <c:pt idx="1">
                  <c:v>3258616</c:v>
                </c:pt>
                <c:pt idx="2">
                  <c:v>2999811</c:v>
                </c:pt>
                <c:pt idx="3">
                  <c:v>3104244</c:v>
                </c:pt>
                <c:pt idx="4">
                  <c:v>2976107</c:v>
                </c:pt>
                <c:pt idx="5">
                  <c:v>3303871</c:v>
                </c:pt>
                <c:pt idx="6">
                  <c:v>3152248</c:v>
                </c:pt>
                <c:pt idx="7">
                  <c:v>3322288</c:v>
                </c:pt>
                <c:pt idx="8">
                  <c:v>3126117</c:v>
                </c:pt>
                <c:pt idx="9">
                  <c:v>3109711</c:v>
                </c:pt>
                <c:pt idx="10">
                  <c:v>3361642</c:v>
                </c:pt>
                <c:pt idx="11">
                  <c:v>3090778</c:v>
                </c:pt>
              </c:numCache>
            </c:numRef>
          </c:val>
          <c:smooth val="0"/>
        </c:ser>
        <c:ser>
          <c:idx val="3"/>
          <c:order val="2"/>
          <c:tx>
            <c:v>PIN Debit 2013</c:v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'FY2013'!$C$25:$C$36</c:f>
              <c:numCache>
                <c:formatCode>[Black]#,##0;[Black]\-#,##0</c:formatCode>
                <c:ptCount val="12"/>
                <c:pt idx="0">
                  <c:v>3089139</c:v>
                </c:pt>
                <c:pt idx="1">
                  <c:v>3129893</c:v>
                </c:pt>
                <c:pt idx="2">
                  <c:v>3140413</c:v>
                </c:pt>
                <c:pt idx="3">
                  <c:v>3072954</c:v>
                </c:pt>
                <c:pt idx="4">
                  <c:v>3030850</c:v>
                </c:pt>
                <c:pt idx="5">
                  <c:v>3418073</c:v>
                </c:pt>
                <c:pt idx="6">
                  <c:v>3106396</c:v>
                </c:pt>
                <c:pt idx="7">
                  <c:v>3326812</c:v>
                </c:pt>
                <c:pt idx="8">
                  <c:v>3177057</c:v>
                </c:pt>
                <c:pt idx="9">
                  <c:v>2796040</c:v>
                </c:pt>
                <c:pt idx="10">
                  <c:v>3148673</c:v>
                </c:pt>
                <c:pt idx="11">
                  <c:v>3089060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'FY2012'!$C$33:$C$44</c:f>
              <c:numCache>
                <c:formatCode>[Black]#,##0;[Black]\-#,##0</c:formatCode>
                <c:ptCount val="12"/>
                <c:pt idx="0">
                  <c:v>2837421</c:v>
                </c:pt>
                <c:pt idx="1">
                  <c:v>2768231</c:v>
                </c:pt>
                <c:pt idx="2">
                  <c:v>2856005</c:v>
                </c:pt>
                <c:pt idx="3">
                  <c:v>2773958</c:v>
                </c:pt>
                <c:pt idx="4">
                  <c:v>2807394</c:v>
                </c:pt>
                <c:pt idx="5">
                  <c:v>2996465</c:v>
                </c:pt>
                <c:pt idx="6">
                  <c:v>2890871</c:v>
                </c:pt>
                <c:pt idx="7">
                  <c:v>3045930</c:v>
                </c:pt>
                <c:pt idx="8">
                  <c:v>3017903</c:v>
                </c:pt>
                <c:pt idx="9">
                  <c:v>2930068</c:v>
                </c:pt>
                <c:pt idx="10">
                  <c:v>3129911</c:v>
                </c:pt>
                <c:pt idx="11">
                  <c:v>3117200</c:v>
                </c:pt>
              </c:numCache>
            </c:numRef>
          </c:val>
          <c:smooth val="0"/>
        </c:ser>
        <c:ser>
          <c:idx val="2"/>
          <c:order val="4"/>
          <c:tx>
            <c:v>PIN Debit 2011</c:v>
          </c:tx>
          <c:spPr>
            <a:ln>
              <a:solidFill>
                <a:srgbClr val="7030A0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7030A0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'FY2011'!$C$34:$C$45</c:f>
              <c:numCache>
                <c:formatCode>[Black]#,##0;[Black]\-#,##0</c:formatCode>
                <c:ptCount val="12"/>
                <c:pt idx="0">
                  <c:v>2742674</c:v>
                </c:pt>
                <c:pt idx="1">
                  <c:v>2602330</c:v>
                </c:pt>
                <c:pt idx="2">
                  <c:v>2670307</c:v>
                </c:pt>
                <c:pt idx="3">
                  <c:v>2644287</c:v>
                </c:pt>
                <c:pt idx="4">
                  <c:v>2478299</c:v>
                </c:pt>
                <c:pt idx="5">
                  <c:v>2753231</c:v>
                </c:pt>
                <c:pt idx="6">
                  <c:v>2734993</c:v>
                </c:pt>
                <c:pt idx="7">
                  <c:v>2750883</c:v>
                </c:pt>
                <c:pt idx="8">
                  <c:v>2637336</c:v>
                </c:pt>
                <c:pt idx="9">
                  <c:v>2694067</c:v>
                </c:pt>
                <c:pt idx="10">
                  <c:v>2701393</c:v>
                </c:pt>
                <c:pt idx="11">
                  <c:v>2747644</c:v>
                </c:pt>
              </c:numCache>
            </c:numRef>
          </c:val>
          <c:smooth val="0"/>
        </c:ser>
        <c:ser>
          <c:idx val="5"/>
          <c:order val="5"/>
          <c:tx>
            <c:v>PIN Debit 2016</c:v>
          </c:tx>
          <c:val>
            <c:numRef>
              <c:f>'FY2016'!$C$25:$C$36</c:f>
              <c:numCache>
                <c:formatCode>[Black]#,##0;[Black]\-#,##0</c:formatCode>
                <c:ptCount val="12"/>
                <c:pt idx="0" formatCode="_(* #,##0_);_(* \(#,##0\);_(* &quot;-&quot;??_);_(@_)">
                  <c:v>3362402</c:v>
                </c:pt>
                <c:pt idx="1">
                  <c:v>3250444</c:v>
                </c:pt>
                <c:pt idx="2">
                  <c:v>3206526</c:v>
                </c:pt>
                <c:pt idx="3">
                  <c:v>3278345</c:v>
                </c:pt>
                <c:pt idx="4">
                  <c:v>3176558</c:v>
                </c:pt>
                <c:pt idx="5">
                  <c:v>3362760</c:v>
                </c:pt>
                <c:pt idx="6">
                  <c:v>3271535</c:v>
                </c:pt>
                <c:pt idx="7">
                  <c:v>3205369</c:v>
                </c:pt>
                <c:pt idx="8">
                  <c:v>2923838</c:v>
                </c:pt>
                <c:pt idx="9">
                  <c:v>2920803</c:v>
                </c:pt>
                <c:pt idx="10">
                  <c:v>2893258</c:v>
                </c:pt>
                <c:pt idx="11">
                  <c:v>2887176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77952"/>
        <c:axId val="39679488"/>
      </c:lineChart>
      <c:dateAx>
        <c:axId val="396779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794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9679488"/>
        <c:scaling>
          <c:orientation val="minMax"/>
          <c:max val="3500000"/>
          <c:min val="22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1.3545020159193387E-2"/>
              <c:y val="0.3632970597776403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#,##0;[Black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77952"/>
        <c:crosses val="autoZero"/>
        <c:crossBetween val="between"/>
        <c:majorUnit val="250000"/>
        <c:min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935418465490506E-2"/>
          <c:y val="0.80694456203727227"/>
          <c:w val="0.92276058782341241"/>
          <c:h val="0.15482365779546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
FY2015 Trend</a:t>
            </a:r>
          </a:p>
        </c:rich>
      </c:tx>
      <c:layout>
        <c:manualLayout>
          <c:xMode val="edge"/>
          <c:yMode val="edge"/>
          <c:x val="0.31400000000000383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0000000000012"/>
          <c:y val="0.31970260223049024"/>
          <c:w val="0.81200000000000061"/>
          <c:h val="0.37546468401488498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'FY2015'!$C$59:$C$70</c:f>
              <c:numCache>
                <c:formatCode>"$"#,##0</c:formatCode>
                <c:ptCount val="12"/>
                <c:pt idx="0">
                  <c:v>869212.66999999993</c:v>
                </c:pt>
                <c:pt idx="1">
                  <c:v>838557.96</c:v>
                </c:pt>
                <c:pt idx="2">
                  <c:v>733536.09000000008</c:v>
                </c:pt>
                <c:pt idx="3">
                  <c:v>842567.47000000009</c:v>
                </c:pt>
                <c:pt idx="4">
                  <c:v>776887.67999999982</c:v>
                </c:pt>
                <c:pt idx="5">
                  <c:v>828591.3600000001</c:v>
                </c:pt>
                <c:pt idx="6">
                  <c:v>836564.06</c:v>
                </c:pt>
                <c:pt idx="7">
                  <c:v>884549.76</c:v>
                </c:pt>
                <c:pt idx="8">
                  <c:v>791251.08999999985</c:v>
                </c:pt>
                <c:pt idx="9">
                  <c:v>834128.65999999992</c:v>
                </c:pt>
                <c:pt idx="10">
                  <c:v>837930.91000000015</c:v>
                </c:pt>
                <c:pt idx="11">
                  <c:v>829863.26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'FY2014'!$C$59:$C$70</c:f>
              <c:numCache>
                <c:formatCode>"$"#,##0</c:formatCode>
                <c:ptCount val="12"/>
                <c:pt idx="0">
                  <c:v>722953.34</c:v>
                </c:pt>
                <c:pt idx="1">
                  <c:v>817497.05999999994</c:v>
                </c:pt>
                <c:pt idx="2">
                  <c:v>797029.60999999987</c:v>
                </c:pt>
                <c:pt idx="3">
                  <c:v>805116.75000000012</c:v>
                </c:pt>
                <c:pt idx="4">
                  <c:v>758894.21</c:v>
                </c:pt>
                <c:pt idx="5">
                  <c:v>836154.77000000014</c:v>
                </c:pt>
                <c:pt idx="6">
                  <c:v>824336.32999999984</c:v>
                </c:pt>
                <c:pt idx="7">
                  <c:v>869203.09000000008</c:v>
                </c:pt>
                <c:pt idx="8">
                  <c:v>784302.5900000002</c:v>
                </c:pt>
                <c:pt idx="9">
                  <c:v>809686.24000000022</c:v>
                </c:pt>
                <c:pt idx="10">
                  <c:v>811586.24000000022</c:v>
                </c:pt>
                <c:pt idx="11">
                  <c:v>784412.19000000018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'FY2013'!$C$59:$C$70</c:f>
              <c:numCache>
                <c:formatCode>"$"#,##0</c:formatCode>
                <c:ptCount val="12"/>
                <c:pt idx="0">
                  <c:v>787061.98999999987</c:v>
                </c:pt>
                <c:pt idx="1">
                  <c:v>813583.88000000012</c:v>
                </c:pt>
                <c:pt idx="2">
                  <c:v>802315.87</c:v>
                </c:pt>
                <c:pt idx="3">
                  <c:v>782689.96999999986</c:v>
                </c:pt>
                <c:pt idx="4">
                  <c:v>776752.9</c:v>
                </c:pt>
                <c:pt idx="5">
                  <c:v>869636.29999999993</c:v>
                </c:pt>
                <c:pt idx="6">
                  <c:v>803401.98</c:v>
                </c:pt>
                <c:pt idx="7">
                  <c:v>869059.80999999994</c:v>
                </c:pt>
                <c:pt idx="8">
                  <c:v>806126.21</c:v>
                </c:pt>
                <c:pt idx="9">
                  <c:v>721802.36</c:v>
                </c:pt>
                <c:pt idx="10">
                  <c:v>816320.39000000025</c:v>
                </c:pt>
                <c:pt idx="11">
                  <c:v>777974.19000000018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'FY2012'!$C$67:$C$78</c:f>
              <c:numCache>
                <c:formatCode>"$"#,##0</c:formatCode>
                <c:ptCount val="12"/>
                <c:pt idx="0">
                  <c:v>706513.09999999986</c:v>
                </c:pt>
                <c:pt idx="1">
                  <c:v>719959.22999999986</c:v>
                </c:pt>
                <c:pt idx="2">
                  <c:v>749991.60000000009</c:v>
                </c:pt>
                <c:pt idx="3">
                  <c:v>702725.10000000009</c:v>
                </c:pt>
                <c:pt idx="4">
                  <c:v>722662.79000000027</c:v>
                </c:pt>
                <c:pt idx="5">
                  <c:v>784746.1</c:v>
                </c:pt>
                <c:pt idx="6">
                  <c:v>722652.05999999994</c:v>
                </c:pt>
                <c:pt idx="7">
                  <c:v>786373.25999999989</c:v>
                </c:pt>
                <c:pt idx="8">
                  <c:v>782377.27999999991</c:v>
                </c:pt>
                <c:pt idx="9">
                  <c:v>740166.21000000031</c:v>
                </c:pt>
                <c:pt idx="10">
                  <c:v>818195.74000000022</c:v>
                </c:pt>
                <c:pt idx="11">
                  <c:v>788317.35000000009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'FY2011'!$C$68:$C$79</c:f>
              <c:numCache>
                <c:formatCode>"$"#,##0</c:formatCode>
                <c:ptCount val="12"/>
                <c:pt idx="0">
                  <c:v>869767.96</c:v>
                </c:pt>
                <c:pt idx="1">
                  <c:v>816758.36</c:v>
                </c:pt>
                <c:pt idx="2">
                  <c:v>859992.62</c:v>
                </c:pt>
                <c:pt idx="3">
                  <c:v>816883.41</c:v>
                </c:pt>
                <c:pt idx="4">
                  <c:v>831121</c:v>
                </c:pt>
                <c:pt idx="5">
                  <c:v>946350.06</c:v>
                </c:pt>
                <c:pt idx="6">
                  <c:v>926955</c:v>
                </c:pt>
                <c:pt idx="7">
                  <c:v>884044</c:v>
                </c:pt>
                <c:pt idx="8">
                  <c:v>881759</c:v>
                </c:pt>
                <c:pt idx="9">
                  <c:v>897184</c:v>
                </c:pt>
                <c:pt idx="10">
                  <c:v>898622</c:v>
                </c:pt>
                <c:pt idx="11">
                  <c:v>931889.7</c:v>
                </c:pt>
              </c:numCache>
            </c:numRef>
          </c:val>
          <c:smooth val="0"/>
        </c:ser>
        <c:ser>
          <c:idx val="5"/>
          <c:order val="5"/>
          <c:tx>
            <c:v>PIN Debit 2016</c:v>
          </c:tx>
          <c:val>
            <c:numRef>
              <c:f>'FY2016'!$C$59:$C$70</c:f>
              <c:numCache>
                <c:formatCode>"$"#,##0</c:formatCode>
                <c:ptCount val="12"/>
                <c:pt idx="0">
                  <c:v>902112.95</c:v>
                </c:pt>
                <c:pt idx="1">
                  <c:v>837803.24000000011</c:v>
                </c:pt>
                <c:pt idx="2">
                  <c:v>879627.87999999989</c:v>
                </c:pt>
                <c:pt idx="3">
                  <c:v>854498.0900000002</c:v>
                </c:pt>
                <c:pt idx="4">
                  <c:v>830127.39</c:v>
                </c:pt>
                <c:pt idx="5">
                  <c:v>902530.9</c:v>
                </c:pt>
                <c:pt idx="6">
                  <c:v>863037.65000000014</c:v>
                </c:pt>
                <c:pt idx="7">
                  <c:v>819415.0399999998</c:v>
                </c:pt>
                <c:pt idx="8">
                  <c:v>762195.68</c:v>
                </c:pt>
                <c:pt idx="9">
                  <c:v>763013.16000000015</c:v>
                </c:pt>
                <c:pt idx="10">
                  <c:v>750063.72</c:v>
                </c:pt>
                <c:pt idx="11">
                  <c:v>760972.87999999989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93856"/>
        <c:axId val="39595392"/>
      </c:lineChart>
      <c:dateAx>
        <c:axId val="395938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953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9595392"/>
        <c:scaling>
          <c:orientation val="minMax"/>
          <c:max val="1000000"/>
          <c:min val="6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93856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9219560242467119E-2"/>
          <c:y val="0.8435577840441828"/>
          <c:w val="0.91621394297889525"/>
          <c:h val="0.156442401995124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Network Fees
FY2015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3036437247195"/>
          <c:y val="0.30106344157989562"/>
          <c:w val="0.8137651821862345"/>
          <c:h val="0.40023728115914958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'FY2015'!$C$76:$C$87</c:f>
              <c:numCache>
                <c:formatCode>"$"#,##0</c:formatCode>
                <c:ptCount val="12"/>
                <c:pt idx="0">
                  <c:v>101643.51000000013</c:v>
                </c:pt>
                <c:pt idx="1">
                  <c:v>97297.95000000007</c:v>
                </c:pt>
                <c:pt idx="2">
                  <c:v>81687.759999999966</c:v>
                </c:pt>
                <c:pt idx="3">
                  <c:v>95481.449999999924</c:v>
                </c:pt>
                <c:pt idx="4">
                  <c:v>78345.440000000206</c:v>
                </c:pt>
                <c:pt idx="5">
                  <c:v>89051.029999999912</c:v>
                </c:pt>
                <c:pt idx="6">
                  <c:v>88478.729999999967</c:v>
                </c:pt>
                <c:pt idx="7">
                  <c:v>91860.04999999993</c:v>
                </c:pt>
                <c:pt idx="8">
                  <c:v>85621.380000000179</c:v>
                </c:pt>
                <c:pt idx="9">
                  <c:v>92173.940000000061</c:v>
                </c:pt>
                <c:pt idx="10">
                  <c:v>86233.729999999865</c:v>
                </c:pt>
                <c:pt idx="11">
                  <c:v>90527.200000000026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22225">
              <a:solidFill>
                <a:srgbClr val="FF33CC"/>
              </a:solidFill>
            </a:ln>
          </c:spPr>
          <c:marker>
            <c:spPr>
              <a:ln>
                <a:solidFill>
                  <a:srgbClr val="FF33CC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'FY2014'!$C$76:$C$87</c:f>
              <c:numCache>
                <c:formatCode>"$"#,##0</c:formatCode>
                <c:ptCount val="12"/>
                <c:pt idx="0">
                  <c:v>83648.260000000009</c:v>
                </c:pt>
                <c:pt idx="1">
                  <c:v>126958.59000000008</c:v>
                </c:pt>
                <c:pt idx="2">
                  <c:v>94101.420000000158</c:v>
                </c:pt>
                <c:pt idx="3">
                  <c:v>95203.909999999916</c:v>
                </c:pt>
                <c:pt idx="4">
                  <c:v>100924.81000000006</c:v>
                </c:pt>
                <c:pt idx="5">
                  <c:v>99437.919999999809</c:v>
                </c:pt>
                <c:pt idx="6">
                  <c:v>99964.14000000013</c:v>
                </c:pt>
                <c:pt idx="7">
                  <c:v>103713.11999999988</c:v>
                </c:pt>
                <c:pt idx="8">
                  <c:v>95993.869999999763</c:v>
                </c:pt>
                <c:pt idx="9">
                  <c:v>99056.359999999753</c:v>
                </c:pt>
                <c:pt idx="10">
                  <c:v>97156.359999999753</c:v>
                </c:pt>
                <c:pt idx="11">
                  <c:v>96389.009999999776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'FY2013'!$C$76:$C$87</c:f>
              <c:numCache>
                <c:formatCode>"$"#,##0</c:formatCode>
                <c:ptCount val="12"/>
                <c:pt idx="0">
                  <c:v>107887.13000000012</c:v>
                </c:pt>
                <c:pt idx="1">
                  <c:v>109647.12999999989</c:v>
                </c:pt>
                <c:pt idx="2">
                  <c:v>108453.56000000006</c:v>
                </c:pt>
                <c:pt idx="3">
                  <c:v>106211.25000000012</c:v>
                </c:pt>
                <c:pt idx="4">
                  <c:v>106347.09999999998</c:v>
                </c:pt>
                <c:pt idx="5">
                  <c:v>117957.71000000008</c:v>
                </c:pt>
                <c:pt idx="6">
                  <c:v>102334.17000000004</c:v>
                </c:pt>
                <c:pt idx="7">
                  <c:v>110128.24000000011</c:v>
                </c:pt>
                <c:pt idx="8">
                  <c:v>97525.160000000033</c:v>
                </c:pt>
                <c:pt idx="9">
                  <c:v>87198.680000000051</c:v>
                </c:pt>
                <c:pt idx="10">
                  <c:v>114822.63999999978</c:v>
                </c:pt>
                <c:pt idx="11">
                  <c:v>89845.10999999987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'FY2012'!$C$84:$C$95</c:f>
              <c:numCache>
                <c:formatCode>"$"#,##0</c:formatCode>
                <c:ptCount val="12"/>
                <c:pt idx="0">
                  <c:v>99860.660000000149</c:v>
                </c:pt>
                <c:pt idx="1">
                  <c:v>101172.3600000001</c:v>
                </c:pt>
                <c:pt idx="2">
                  <c:v>104629.99999999988</c:v>
                </c:pt>
                <c:pt idx="3">
                  <c:v>100285.11999999988</c:v>
                </c:pt>
                <c:pt idx="4">
                  <c:v>100876.40999999968</c:v>
                </c:pt>
                <c:pt idx="5">
                  <c:v>109579.30000000005</c:v>
                </c:pt>
                <c:pt idx="6">
                  <c:v>103051.09000000008</c:v>
                </c:pt>
                <c:pt idx="7">
                  <c:v>108115.3600000001</c:v>
                </c:pt>
                <c:pt idx="8">
                  <c:v>105811.02000000014</c:v>
                </c:pt>
                <c:pt idx="9">
                  <c:v>99893.659999999683</c:v>
                </c:pt>
                <c:pt idx="10">
                  <c:v>110094.7899999998</c:v>
                </c:pt>
                <c:pt idx="11">
                  <c:v>104855.79999999993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'FY2011'!$C$85:$C$96</c:f>
              <c:numCache>
                <c:formatCode>"$"#,##0</c:formatCode>
                <c:ptCount val="12"/>
                <c:pt idx="4">
                  <c:v>93289.59</c:v>
                </c:pt>
                <c:pt idx="5">
                  <c:v>105591.58999999997</c:v>
                </c:pt>
                <c:pt idx="6">
                  <c:v>100923.86999999997</c:v>
                </c:pt>
                <c:pt idx="7">
                  <c:v>96328.930000000022</c:v>
                </c:pt>
                <c:pt idx="8">
                  <c:v>96117.430000000022</c:v>
                </c:pt>
                <c:pt idx="9">
                  <c:v>97518.270000000077</c:v>
                </c:pt>
                <c:pt idx="10">
                  <c:v>97906.25000000016</c:v>
                </c:pt>
                <c:pt idx="11">
                  <c:v>108733.17999999982</c:v>
                </c:pt>
              </c:numCache>
            </c:numRef>
          </c:val>
          <c:smooth val="0"/>
        </c:ser>
        <c:ser>
          <c:idx val="5"/>
          <c:order val="5"/>
          <c:tx>
            <c:v>PIN Debit 2016</c:v>
          </c:tx>
          <c:val>
            <c:numRef>
              <c:f>'FY2016'!$C$76:$C$87</c:f>
              <c:numCache>
                <c:formatCode>"$"#,##0</c:formatCode>
                <c:ptCount val="12"/>
                <c:pt idx="0">
                  <c:v>91426.409999999945</c:v>
                </c:pt>
                <c:pt idx="1">
                  <c:v>84650.3299999999</c:v>
                </c:pt>
                <c:pt idx="2">
                  <c:v>90372.570000000051</c:v>
                </c:pt>
                <c:pt idx="3">
                  <c:v>85933.449999999764</c:v>
                </c:pt>
                <c:pt idx="4">
                  <c:v>85498.51999999996</c:v>
                </c:pt>
                <c:pt idx="5">
                  <c:v>90496.089999999924</c:v>
                </c:pt>
                <c:pt idx="6">
                  <c:v>91183.22999999985</c:v>
                </c:pt>
                <c:pt idx="7">
                  <c:v>84538.36000000019</c:v>
                </c:pt>
                <c:pt idx="8">
                  <c:v>83208.699999999953</c:v>
                </c:pt>
                <c:pt idx="9">
                  <c:v>78998.989999999903</c:v>
                </c:pt>
                <c:pt idx="10">
                  <c:v>78242.670000000013</c:v>
                </c:pt>
                <c:pt idx="11">
                  <c:v>85601.200000000157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44544"/>
        <c:axId val="78320768"/>
      </c:lineChart>
      <c:dateAx>
        <c:axId val="396445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3207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8320768"/>
        <c:scaling>
          <c:orientation val="minMax"/>
          <c:min val="6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44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082886669289502E-2"/>
          <c:y val="0.84349251968503935"/>
          <c:w val="0.93229356384799722"/>
          <c:h val="0.15650753446029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
FY2017 Trend</a:t>
            </a:r>
          </a:p>
        </c:rich>
      </c:tx>
      <c:layout>
        <c:manualLayout>
          <c:xMode val="edge"/>
          <c:yMode val="edge"/>
          <c:x val="0.31400000000000372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0000000000012"/>
          <c:y val="0.31970260223049007"/>
          <c:w val="0.81200000000000061"/>
          <c:h val="0.3754646840148847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'FY2015'!$B$59:$B$70</c:f>
              <c:numCache>
                <c:formatCode>"$"#,##0</c:formatCode>
                <c:ptCount val="12"/>
                <c:pt idx="0">
                  <c:v>12605011.77</c:v>
                </c:pt>
                <c:pt idx="1">
                  <c:v>11089098.919999998</c:v>
                </c:pt>
                <c:pt idx="2">
                  <c:v>11855954.990000002</c:v>
                </c:pt>
                <c:pt idx="3">
                  <c:v>11521941.280000001</c:v>
                </c:pt>
                <c:pt idx="4">
                  <c:v>10607183.880000001</c:v>
                </c:pt>
                <c:pt idx="5">
                  <c:v>12249009.709999999</c:v>
                </c:pt>
                <c:pt idx="6">
                  <c:v>12717715.84</c:v>
                </c:pt>
                <c:pt idx="7">
                  <c:v>13491019.829999998</c:v>
                </c:pt>
                <c:pt idx="8">
                  <c:v>13240671.910000002</c:v>
                </c:pt>
                <c:pt idx="9">
                  <c:v>13657598.440000001</c:v>
                </c:pt>
                <c:pt idx="10">
                  <c:v>13688915.84</c:v>
                </c:pt>
                <c:pt idx="11">
                  <c:v>12955617.279999999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'FY2014'!$B$59:$B$70</c:f>
              <c:numCache>
                <c:formatCode>"$"#,##0</c:formatCode>
                <c:ptCount val="12"/>
                <c:pt idx="0">
                  <c:v>11208320.709999999</c:v>
                </c:pt>
                <c:pt idx="1">
                  <c:v>11086599.040000001</c:v>
                </c:pt>
                <c:pt idx="2">
                  <c:v>10864014.720000001</c:v>
                </c:pt>
                <c:pt idx="3">
                  <c:v>10882043.560000001</c:v>
                </c:pt>
                <c:pt idx="4">
                  <c:v>10176580</c:v>
                </c:pt>
                <c:pt idx="5">
                  <c:v>11349258.65</c:v>
                </c:pt>
                <c:pt idx="6">
                  <c:v>11869675.34</c:v>
                </c:pt>
                <c:pt idx="7">
                  <c:v>12846913.58</c:v>
                </c:pt>
                <c:pt idx="8">
                  <c:v>12482566.360000001</c:v>
                </c:pt>
                <c:pt idx="9">
                  <c:v>12844355.149999999</c:v>
                </c:pt>
                <c:pt idx="10">
                  <c:v>14391386.869999999</c:v>
                </c:pt>
                <c:pt idx="11">
                  <c:v>11903990.560000001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'FY2013'!$B$59:$B$70</c:f>
              <c:numCache>
                <c:formatCode>"$"#,##0</c:formatCode>
                <c:ptCount val="12"/>
                <c:pt idx="0">
                  <c:v>9906263.3499999996</c:v>
                </c:pt>
                <c:pt idx="1">
                  <c:v>10335858.539999999</c:v>
                </c:pt>
                <c:pt idx="2">
                  <c:v>10481313.57</c:v>
                </c:pt>
                <c:pt idx="3">
                  <c:v>11020817.949999999</c:v>
                </c:pt>
                <c:pt idx="4">
                  <c:v>10016656.34</c:v>
                </c:pt>
                <c:pt idx="5">
                  <c:v>11525646.879999999</c:v>
                </c:pt>
                <c:pt idx="6">
                  <c:v>11455928.32</c:v>
                </c:pt>
                <c:pt idx="7">
                  <c:v>12438261.300000001</c:v>
                </c:pt>
                <c:pt idx="8">
                  <c:v>12147493.199999999</c:v>
                </c:pt>
                <c:pt idx="9">
                  <c:v>12154274.180000002</c:v>
                </c:pt>
                <c:pt idx="10">
                  <c:v>12031129.640000001</c:v>
                </c:pt>
                <c:pt idx="11">
                  <c:v>11478861.59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'FY2012'!$B$67:$B$78</c:f>
              <c:numCache>
                <c:formatCode>"$"#,##0</c:formatCode>
                <c:ptCount val="12"/>
                <c:pt idx="0">
                  <c:v>9710032.9700000007</c:v>
                </c:pt>
                <c:pt idx="1">
                  <c:v>9634886.9399999995</c:v>
                </c:pt>
                <c:pt idx="2">
                  <c:v>10149741</c:v>
                </c:pt>
                <c:pt idx="3">
                  <c:v>9394360</c:v>
                </c:pt>
                <c:pt idx="4">
                  <c:v>9469837.1799999997</c:v>
                </c:pt>
                <c:pt idx="5">
                  <c:v>10537308.210000001</c:v>
                </c:pt>
                <c:pt idx="6">
                  <c:v>10016212.059999999</c:v>
                </c:pt>
                <c:pt idx="7">
                  <c:v>11415144</c:v>
                </c:pt>
                <c:pt idx="8">
                  <c:v>11812731</c:v>
                </c:pt>
                <c:pt idx="9">
                  <c:v>11349766</c:v>
                </c:pt>
                <c:pt idx="10">
                  <c:v>12089605.68</c:v>
                </c:pt>
                <c:pt idx="11">
                  <c:v>10923025.050000001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'FY2011'!$B$68:$B$79</c:f>
              <c:numCache>
                <c:formatCode>"$"#,##0</c:formatCode>
                <c:ptCount val="12"/>
                <c:pt idx="0">
                  <c:v>10754188.27999996</c:v>
                </c:pt>
                <c:pt idx="1">
                  <c:v>9229645.3699999992</c:v>
                </c:pt>
                <c:pt idx="2">
                  <c:v>10607398.27</c:v>
                </c:pt>
                <c:pt idx="3">
                  <c:v>9304238.8599999994</c:v>
                </c:pt>
                <c:pt idx="4">
                  <c:v>9168267</c:v>
                </c:pt>
                <c:pt idx="5">
                  <c:v>10804872.029999999</c:v>
                </c:pt>
                <c:pt idx="6">
                  <c:v>11039319</c:v>
                </c:pt>
                <c:pt idx="7">
                  <c:v>11244004</c:v>
                </c:pt>
                <c:pt idx="8">
                  <c:v>12028464</c:v>
                </c:pt>
                <c:pt idx="9">
                  <c:v>12168184.85</c:v>
                </c:pt>
                <c:pt idx="10">
                  <c:v>11351389</c:v>
                </c:pt>
                <c:pt idx="11">
                  <c:v>11211485.620000001</c:v>
                </c:pt>
              </c:numCache>
            </c:numRef>
          </c:val>
          <c:smooth val="0"/>
        </c:ser>
        <c:ser>
          <c:idx val="5"/>
          <c:order val="5"/>
          <c:tx>
            <c:v>Credit 2016</c:v>
          </c:tx>
          <c:val>
            <c:numRef>
              <c:f>'FY2016'!$B$59:$B$70</c:f>
              <c:numCache>
                <c:formatCode>"$"#,##0</c:formatCode>
                <c:ptCount val="12"/>
                <c:pt idx="0">
                  <c:v>13098979.500000002</c:v>
                </c:pt>
                <c:pt idx="1">
                  <c:v>11485789.369999997</c:v>
                </c:pt>
                <c:pt idx="2">
                  <c:v>13176459.299999999</c:v>
                </c:pt>
                <c:pt idx="3">
                  <c:v>12313337.01</c:v>
                </c:pt>
                <c:pt idx="4">
                  <c:v>11815521.350000003</c:v>
                </c:pt>
                <c:pt idx="5">
                  <c:v>13347334.810000002</c:v>
                </c:pt>
                <c:pt idx="6">
                  <c:v>13976848.32</c:v>
                </c:pt>
                <c:pt idx="7">
                  <c:v>14006542.930000002</c:v>
                </c:pt>
                <c:pt idx="8">
                  <c:v>14862263.040000001</c:v>
                </c:pt>
                <c:pt idx="9">
                  <c:v>14522017.039999999</c:v>
                </c:pt>
                <c:pt idx="10">
                  <c:v>14273670.860000001</c:v>
                </c:pt>
                <c:pt idx="11">
                  <c:v>14399401.75</c:v>
                </c:pt>
              </c:numCache>
            </c:numRef>
          </c:val>
          <c:smooth val="0"/>
        </c:ser>
        <c:ser>
          <c:idx val="6"/>
          <c:order val="6"/>
          <c:tx>
            <c:v>Credit 2017</c:v>
          </c:tx>
          <c:val>
            <c:numRef>
              <c:f>'FY2017'!$B$59:$B$70</c:f>
              <c:numCache>
                <c:formatCode>_("$"* #,##0.00_);_("$"* \(#,##0.00\);_("$"* "-"??_);_(@_)</c:formatCode>
                <c:ptCount val="12"/>
                <c:pt idx="0">
                  <c:v>13647325.880000001</c:v>
                </c:pt>
                <c:pt idx="1">
                  <c:v>13979823.689999999</c:v>
                </c:pt>
                <c:pt idx="2">
                  <c:v>14601350.760000102</c:v>
                </c:pt>
                <c:pt idx="3">
                  <c:v>12908293.10000008</c:v>
                </c:pt>
                <c:pt idx="4">
                  <c:v>12416979.150000008</c:v>
                </c:pt>
                <c:pt idx="5">
                  <c:v>14970263.300000101</c:v>
                </c:pt>
                <c:pt idx="6">
                  <c:v>13754005.080000101</c:v>
                </c:pt>
                <c:pt idx="7">
                  <c:v>14153432.420000099</c:v>
                </c:pt>
                <c:pt idx="8">
                  <c:v>14870684.749999963</c:v>
                </c:pt>
                <c:pt idx="9">
                  <c:v>14316481.37000002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66144"/>
        <c:axId val="79500416"/>
      </c:lineChart>
      <c:dateAx>
        <c:axId val="789661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004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9500416"/>
        <c:scaling>
          <c:orientation val="minMax"/>
          <c:max val="15000000"/>
          <c:min val="9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66144"/>
        <c:crosses val="autoZero"/>
        <c:crossBetween val="between"/>
        <c:majorUnit val="1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4972451346943727E-2"/>
          <c:y val="0.84862535228578995"/>
          <c:w val="0.9179107231161322"/>
          <c:h val="0.15137483286287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Signature</a:t>
            </a:r>
            <a:r>
              <a:rPr lang="en-US" baseline="0"/>
              <a:t> Debit Transactions</a:t>
            </a:r>
            <a:r>
              <a:rPr lang="en-US"/>
              <a:t>
FY2015 Trend</a:t>
            </a:r>
          </a:p>
        </c:rich>
      </c:tx>
      <c:layout>
        <c:manualLayout>
          <c:xMode val="edge"/>
          <c:yMode val="edge"/>
          <c:x val="0.2969618686619378"/>
          <c:y val="3.6977952755906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4"/>
          <c:order val="0"/>
          <c:tx>
            <c:v>Sig Debit Tran Count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'FY2015'!$B$93:$B$104</c:f>
              <c:numCache>
                <c:formatCode>#,##0</c:formatCode>
                <c:ptCount val="12"/>
                <c:pt idx="0">
                  <c:v>2714220</c:v>
                </c:pt>
                <c:pt idx="1">
                  <c:v>2455499</c:v>
                </c:pt>
                <c:pt idx="2">
                  <c:v>2702857</c:v>
                </c:pt>
                <c:pt idx="3">
                  <c:v>2653191</c:v>
                </c:pt>
                <c:pt idx="4">
                  <c:v>2555977</c:v>
                </c:pt>
                <c:pt idx="5">
                  <c:v>2896287</c:v>
                </c:pt>
                <c:pt idx="6">
                  <c:v>2849861</c:v>
                </c:pt>
                <c:pt idx="7">
                  <c:v>2857190</c:v>
                </c:pt>
                <c:pt idx="8">
                  <c:v>2832924</c:v>
                </c:pt>
                <c:pt idx="9">
                  <c:v>2951886</c:v>
                </c:pt>
                <c:pt idx="10">
                  <c:v>2846005</c:v>
                </c:pt>
                <c:pt idx="11">
                  <c:v>2716603</c:v>
                </c:pt>
              </c:numCache>
            </c:numRef>
          </c:val>
          <c:smooth val="0"/>
        </c:ser>
        <c:ser>
          <c:idx val="0"/>
          <c:order val="1"/>
          <c:tx>
            <c:v>Sig Debit Tran Count 2014</c:v>
          </c:tx>
          <c:spPr>
            <a:ln w="12700"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'FY2014'!$B$93:$B$104</c:f>
              <c:numCache>
                <c:formatCode>#,##0</c:formatCode>
                <c:ptCount val="12"/>
                <c:pt idx="0">
                  <c:v>2238270</c:v>
                </c:pt>
                <c:pt idx="1">
                  <c:v>2357475</c:v>
                </c:pt>
                <c:pt idx="2">
                  <c:v>2259951</c:v>
                </c:pt>
                <c:pt idx="3">
                  <c:v>2350622</c:v>
                </c:pt>
                <c:pt idx="4">
                  <c:v>2344240</c:v>
                </c:pt>
                <c:pt idx="5">
                  <c:v>2683176</c:v>
                </c:pt>
                <c:pt idx="6">
                  <c:v>2622812</c:v>
                </c:pt>
                <c:pt idx="7">
                  <c:v>2730720</c:v>
                </c:pt>
                <c:pt idx="8">
                  <c:v>2609899</c:v>
                </c:pt>
                <c:pt idx="9">
                  <c:v>2790258</c:v>
                </c:pt>
                <c:pt idx="10">
                  <c:v>2791990</c:v>
                </c:pt>
                <c:pt idx="11">
                  <c:v>2511687</c:v>
                </c:pt>
              </c:numCache>
            </c:numRef>
          </c:val>
          <c:smooth val="0"/>
        </c:ser>
        <c:ser>
          <c:idx val="3"/>
          <c:order val="2"/>
          <c:tx>
            <c:v>Sig Debit Tran Count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'FY2013'!$B$93:$B$104</c:f>
              <c:numCache>
                <c:formatCode>#,##0</c:formatCode>
                <c:ptCount val="12"/>
                <c:pt idx="0">
                  <c:v>2331184</c:v>
                </c:pt>
                <c:pt idx="1">
                  <c:v>2180620</c:v>
                </c:pt>
                <c:pt idx="2">
                  <c:v>2229765</c:v>
                </c:pt>
                <c:pt idx="3">
                  <c:v>2324659</c:v>
                </c:pt>
                <c:pt idx="4">
                  <c:v>2273355</c:v>
                </c:pt>
                <c:pt idx="5">
                  <c:v>2648387</c:v>
                </c:pt>
                <c:pt idx="6">
                  <c:v>2450890</c:v>
                </c:pt>
                <c:pt idx="7">
                  <c:v>2652022</c:v>
                </c:pt>
                <c:pt idx="8">
                  <c:v>2607548</c:v>
                </c:pt>
                <c:pt idx="9">
                  <c:v>2510877</c:v>
                </c:pt>
                <c:pt idx="10">
                  <c:v>2601363</c:v>
                </c:pt>
                <c:pt idx="11">
                  <c:v>2340406</c:v>
                </c:pt>
              </c:numCache>
            </c:numRef>
          </c:val>
          <c:smooth val="0"/>
        </c:ser>
        <c:ser>
          <c:idx val="2"/>
          <c:order val="3"/>
          <c:tx>
            <c:v>Sig Debit Tran Count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'FY2012'!$B$101:$B$112</c:f>
              <c:numCache>
                <c:formatCode>#,##0</c:formatCode>
                <c:ptCount val="12"/>
                <c:pt idx="0">
                  <c:v>2335314</c:v>
                </c:pt>
                <c:pt idx="1">
                  <c:v>2226585</c:v>
                </c:pt>
                <c:pt idx="2">
                  <c:v>2361670</c:v>
                </c:pt>
                <c:pt idx="3">
                  <c:v>2286304</c:v>
                </c:pt>
                <c:pt idx="4">
                  <c:v>2422856</c:v>
                </c:pt>
                <c:pt idx="5">
                  <c:v>2660111</c:v>
                </c:pt>
                <c:pt idx="6">
                  <c:v>2407902</c:v>
                </c:pt>
                <c:pt idx="7">
                  <c:v>2559494</c:v>
                </c:pt>
                <c:pt idx="8">
                  <c:v>2566260</c:v>
                </c:pt>
                <c:pt idx="9">
                  <c:v>2417787</c:v>
                </c:pt>
                <c:pt idx="10">
                  <c:v>2589648</c:v>
                </c:pt>
                <c:pt idx="11">
                  <c:v>2359446</c:v>
                </c:pt>
              </c:numCache>
            </c:numRef>
          </c:val>
          <c:smooth val="0"/>
        </c:ser>
        <c:ser>
          <c:idx val="1"/>
          <c:order val="4"/>
          <c:tx>
            <c:v>Sig Debit Tran Count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'FY2011'!$B$102:$B$113</c:f>
              <c:numCache>
                <c:formatCode>#,##0</c:formatCode>
                <c:ptCount val="12"/>
                <c:pt idx="0">
                  <c:v>2074161</c:v>
                </c:pt>
                <c:pt idx="1">
                  <c:v>1974976</c:v>
                </c:pt>
                <c:pt idx="2">
                  <c:v>2125799</c:v>
                </c:pt>
                <c:pt idx="3">
                  <c:v>2058669</c:v>
                </c:pt>
                <c:pt idx="4">
                  <c:v>2084273</c:v>
                </c:pt>
                <c:pt idx="5">
                  <c:v>2399589</c:v>
                </c:pt>
                <c:pt idx="6">
                  <c:v>2321494</c:v>
                </c:pt>
                <c:pt idx="7">
                  <c:v>2320821</c:v>
                </c:pt>
                <c:pt idx="8">
                  <c:v>2387014</c:v>
                </c:pt>
                <c:pt idx="9">
                  <c:v>2494889</c:v>
                </c:pt>
                <c:pt idx="10">
                  <c:v>2422838</c:v>
                </c:pt>
                <c:pt idx="11">
                  <c:v>2321746</c:v>
                </c:pt>
              </c:numCache>
            </c:numRef>
          </c:val>
          <c:smooth val="0"/>
        </c:ser>
        <c:ser>
          <c:idx val="5"/>
          <c:order val="5"/>
          <c:tx>
            <c:v>Sig Debit Tran Count 2016</c:v>
          </c:tx>
          <c:val>
            <c:numRef>
              <c:f>'FY2016'!$B$100:$B$111</c:f>
              <c:numCache>
                <c:formatCode>#,##0</c:formatCode>
                <c:ptCount val="12"/>
                <c:pt idx="0">
                  <c:v>2795438</c:v>
                </c:pt>
                <c:pt idx="1">
                  <c:v>2435981</c:v>
                </c:pt>
                <c:pt idx="2">
                  <c:v>2665659</c:v>
                </c:pt>
                <c:pt idx="3">
                  <c:v>2597817</c:v>
                </c:pt>
                <c:pt idx="4">
                  <c:v>2642545</c:v>
                </c:pt>
                <c:pt idx="5">
                  <c:v>3035299</c:v>
                </c:pt>
                <c:pt idx="6">
                  <c:v>2903222</c:v>
                </c:pt>
                <c:pt idx="7">
                  <c:v>2941734</c:v>
                </c:pt>
                <c:pt idx="8">
                  <c:v>3181671</c:v>
                </c:pt>
                <c:pt idx="9">
                  <c:v>3196714</c:v>
                </c:pt>
                <c:pt idx="10">
                  <c:v>3161347</c:v>
                </c:pt>
                <c:pt idx="11">
                  <c:v>2993058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86304"/>
        <c:axId val="78387840"/>
      </c:lineChart>
      <c:dateAx>
        <c:axId val="783863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387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8387840"/>
        <c:scaling>
          <c:orientation val="minMax"/>
          <c:max val="3500000"/>
          <c:min val="17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386304"/>
        <c:crosses val="autoZero"/>
        <c:crossBetween val="between"/>
        <c:majorUnit val="25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393939393939391E-2"/>
          <c:y val="0.83665472440944877"/>
          <c:w val="0.90000018996419173"/>
          <c:h val="0.16334519296199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 Cost Per Transaction
FY2015 Trend</a:t>
            </a:r>
          </a:p>
        </c:rich>
      </c:tx>
      <c:layout>
        <c:manualLayout>
          <c:xMode val="edge"/>
          <c:yMode val="edge"/>
          <c:x val="0.31325301204819223"/>
          <c:y val="3.6630074525356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460536442200781"/>
          <c:w val="0.80971659919028338"/>
          <c:h val="0.39315343547491688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'FY2015'!$C$111:$C$122</c:f>
              <c:numCache>
                <c:formatCode>"$"#,##0.00</c:formatCode>
                <c:ptCount val="12"/>
                <c:pt idx="0">
                  <c:v>0.26239503219665694</c:v>
                </c:pt>
                <c:pt idx="1">
                  <c:v>0.25548647386311807</c:v>
                </c:pt>
                <c:pt idx="2">
                  <c:v>0.26815567325148076</c:v>
                </c:pt>
                <c:pt idx="3">
                  <c:v>0.26262222488200093</c:v>
                </c:pt>
                <c:pt idx="4">
                  <c:v>0.25605286064261085</c:v>
                </c:pt>
                <c:pt idx="5">
                  <c:v>0.26692211050420012</c:v>
                </c:pt>
                <c:pt idx="6">
                  <c:v>0.26262432810678216</c:v>
                </c:pt>
                <c:pt idx="7">
                  <c:v>0.26288354394039226</c:v>
                </c:pt>
                <c:pt idx="8">
                  <c:v>0.26044454077724766</c:v>
                </c:pt>
                <c:pt idx="9">
                  <c:v>0.26425594911861738</c:v>
                </c:pt>
                <c:pt idx="10">
                  <c:v>0.2556559106387562</c:v>
                </c:pt>
                <c:pt idx="11">
                  <c:v>0.26603126863327159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'FY2014'!$C$111:$C$122</c:f>
              <c:numCache>
                <c:formatCode>"$"#,##0.00</c:formatCode>
                <c:ptCount val="12"/>
                <c:pt idx="0">
                  <c:v>0.26313708033660427</c:v>
                </c:pt>
                <c:pt idx="1">
                  <c:v>0.25087247469477836</c:v>
                </c:pt>
                <c:pt idx="2">
                  <c:v>0.26569327534301324</c:v>
                </c:pt>
                <c:pt idx="3">
                  <c:v>0.25936000842717266</c:v>
                </c:pt>
                <c:pt idx="4">
                  <c:v>0.25499560667677607</c:v>
                </c:pt>
                <c:pt idx="5">
                  <c:v>0.25308335888416955</c:v>
                </c:pt>
                <c:pt idx="6">
                  <c:v>0.26150744801804932</c:v>
                </c:pt>
                <c:pt idx="7">
                  <c:v>0.26162785706717784</c:v>
                </c:pt>
                <c:pt idx="8">
                  <c:v>0.25088715169649767</c:v>
                </c:pt>
                <c:pt idx="9">
                  <c:v>0.26037346878857881</c:v>
                </c:pt>
                <c:pt idx="10">
                  <c:v>0.24142554144670975</c:v>
                </c:pt>
                <c:pt idx="11">
                  <c:v>0.25379117814349661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'FY2013'!$C$111:$C$122</c:f>
              <c:numCache>
                <c:formatCode>"$"#,##0.00</c:formatCode>
                <c:ptCount val="12"/>
                <c:pt idx="0">
                  <c:v>0.25478361122629961</c:v>
                </c:pt>
                <c:pt idx="1">
                  <c:v>0.25993983819894168</c:v>
                </c:pt>
                <c:pt idx="2">
                  <c:v>0.25548100520536632</c:v>
                </c:pt>
                <c:pt idx="3">
                  <c:v>0.2547027941192741</c:v>
                </c:pt>
                <c:pt idx="4">
                  <c:v>0.25628219806324959</c:v>
                </c:pt>
                <c:pt idx="5">
                  <c:v>0.2544229745824621</c:v>
                </c:pt>
                <c:pt idx="6">
                  <c:v>0.25862832040731443</c:v>
                </c:pt>
                <c:pt idx="7">
                  <c:v>0.26122901143797722</c:v>
                </c:pt>
                <c:pt idx="8">
                  <c:v>0.2537336314708864</c:v>
                </c:pt>
                <c:pt idx="9">
                  <c:v>0.2581516573439579</c:v>
                </c:pt>
                <c:pt idx="10">
                  <c:v>0.25925854796607978</c:v>
                </c:pt>
                <c:pt idx="11">
                  <c:v>0.25184819653875296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'FY2012'!$C$119:$C$130</c:f>
              <c:numCache>
                <c:formatCode>"$"#,##0.00</c:formatCode>
                <c:ptCount val="12"/>
                <c:pt idx="0">
                  <c:v>0.24899833334566843</c:v>
                </c:pt>
                <c:pt idx="1">
                  <c:v>0.2600791733059849</c:v>
                </c:pt>
                <c:pt idx="2">
                  <c:v>0.26260164110356954</c:v>
                </c:pt>
                <c:pt idx="3">
                  <c:v>0.25332939431671281</c:v>
                </c:pt>
                <c:pt idx="4">
                  <c:v>0.25741409648948466</c:v>
                </c:pt>
                <c:pt idx="5">
                  <c:v>0.26189062778974559</c:v>
                </c:pt>
                <c:pt idx="6">
                  <c:v>0.24997727674462122</c:v>
                </c:pt>
                <c:pt idx="7">
                  <c:v>0.258171809595099</c:v>
                </c:pt>
                <c:pt idx="8">
                  <c:v>0.25924533691109353</c:v>
                </c:pt>
                <c:pt idx="9">
                  <c:v>0.25261059129003161</c:v>
                </c:pt>
                <c:pt idx="10">
                  <c:v>0.2614118228920887</c:v>
                </c:pt>
                <c:pt idx="11">
                  <c:v>0.25289277235981011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'FY2011'!$C$120:$C$131</c:f>
              <c:numCache>
                <c:formatCode>"$"#,##0.00</c:formatCode>
                <c:ptCount val="12"/>
                <c:pt idx="0">
                  <c:v>0.31712407672220611</c:v>
                </c:pt>
                <c:pt idx="1">
                  <c:v>0.31385656699957343</c:v>
                </c:pt>
                <c:pt idx="2">
                  <c:v>0.32205758364113191</c:v>
                </c:pt>
                <c:pt idx="3">
                  <c:v>0.30892388382955405</c:v>
                </c:pt>
                <c:pt idx="4">
                  <c:v>0.33535945420629232</c:v>
                </c:pt>
                <c:pt idx="5">
                  <c:v>0.34372345073842336</c:v>
                </c:pt>
                <c:pt idx="6">
                  <c:v>0.33892408499765814</c:v>
                </c:pt>
                <c:pt idx="7">
                  <c:v>0.32136735731763222</c:v>
                </c:pt>
                <c:pt idx="8">
                  <c:v>0.33433699763700947</c:v>
                </c:pt>
                <c:pt idx="9">
                  <c:v>0.33302215572218508</c:v>
                </c:pt>
                <c:pt idx="10">
                  <c:v>0.33265133951261444</c:v>
                </c:pt>
                <c:pt idx="11">
                  <c:v>0.33915954905366197</c:v>
                </c:pt>
              </c:numCache>
            </c:numRef>
          </c:val>
          <c:smooth val="0"/>
        </c:ser>
        <c:ser>
          <c:idx val="5"/>
          <c:order val="5"/>
          <c:tx>
            <c:v>PIN Debit 2016</c:v>
          </c:tx>
          <c:val>
            <c:numRef>
              <c:f>'FY2016'!$C$118:$C$129</c:f>
              <c:numCache>
                <c:formatCode>"$"#,##0.00</c:formatCode>
                <c:ptCount val="12"/>
                <c:pt idx="0">
                  <c:v>0.26829419861158776</c:v>
                </c:pt>
                <c:pt idx="1">
                  <c:v>0.25775039963771107</c:v>
                </c:pt>
                <c:pt idx="2">
                  <c:v>0.27432426245725122</c:v>
                </c:pt>
                <c:pt idx="3">
                  <c:v>0.26064922697275611</c:v>
                </c:pt>
                <c:pt idx="4">
                  <c:v>0.26132920916287378</c:v>
                </c:pt>
                <c:pt idx="5">
                  <c:v>0.26838992375310755</c:v>
                </c:pt>
                <c:pt idx="6">
                  <c:v>0.263802053164646</c:v>
                </c:pt>
                <c:pt idx="7">
                  <c:v>0.2556382868867827</c:v>
                </c:pt>
                <c:pt idx="8">
                  <c:v>0.26068327999020469</c:v>
                </c:pt>
                <c:pt idx="9">
                  <c:v>0.26123403735205702</c:v>
                </c:pt>
                <c:pt idx="10">
                  <c:v>0.25924536284009236</c:v>
                </c:pt>
                <c:pt idx="11">
                  <c:v>0.26356996594596238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0608"/>
        <c:axId val="78438784"/>
      </c:lineChart>
      <c:dateAx>
        <c:axId val="784206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4387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8438784"/>
        <c:scaling>
          <c:orientation val="minMax"/>
          <c:max val="0.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420608"/>
        <c:crosses val="autoZero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24448672197769E-2"/>
          <c:y val="0.85271413302478793"/>
          <c:w val="0.91432282662497744"/>
          <c:h val="0.14728597949646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Ticket
FY2015 Trend</a:t>
            </a:r>
          </a:p>
        </c:rich>
      </c:tx>
      <c:layout>
        <c:manualLayout>
          <c:xMode val="edge"/>
          <c:yMode val="edge"/>
          <c:x val="0.30673997071109277"/>
          <c:y val="4.2416130986108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076923076924"/>
          <c:y val="0.30633802816901839"/>
          <c:w val="0.74291497975708498"/>
          <c:h val="0.38732394366197764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'FY2015'!$C$42:$C$53</c:f>
              <c:numCache>
                <c:formatCode>"$"#,##0.00</c:formatCode>
                <c:ptCount val="12"/>
                <c:pt idx="0">
                  <c:v>70.58219996250692</c:v>
                </c:pt>
                <c:pt idx="1">
                  <c:v>73.68324035304353</c:v>
                </c:pt>
                <c:pt idx="2">
                  <c:v>74.632786345826659</c:v>
                </c:pt>
                <c:pt idx="3">
                  <c:v>72.356782042878351</c:v>
                </c:pt>
                <c:pt idx="4">
                  <c:v>71.542165531620512</c:v>
                </c:pt>
                <c:pt idx="5">
                  <c:v>72.293042721512876</c:v>
                </c:pt>
                <c:pt idx="6">
                  <c:v>68.777223584338813</c:v>
                </c:pt>
                <c:pt idx="7">
                  <c:v>70.035125714864861</c:v>
                </c:pt>
                <c:pt idx="8">
                  <c:v>67.824769915463023</c:v>
                </c:pt>
                <c:pt idx="9">
                  <c:v>68.866021274074782</c:v>
                </c:pt>
                <c:pt idx="10">
                  <c:v>69.562679302642593</c:v>
                </c:pt>
                <c:pt idx="11">
                  <c:v>68.704085365228167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'FY2014'!$C$42:$C$53</c:f>
              <c:numCache>
                <c:formatCode>"$"#,##0.00</c:formatCode>
                <c:ptCount val="12"/>
                <c:pt idx="0">
                  <c:v>71.60774830387561</c:v>
                </c:pt>
                <c:pt idx="1">
                  <c:v>74.600119805463422</c:v>
                </c:pt>
                <c:pt idx="2">
                  <c:v>74.017556772743347</c:v>
                </c:pt>
                <c:pt idx="3">
                  <c:v>72.293042686077513</c:v>
                </c:pt>
                <c:pt idx="4">
                  <c:v>73.553813085349418</c:v>
                </c:pt>
                <c:pt idx="5">
                  <c:v>72.021816832436855</c:v>
                </c:pt>
                <c:pt idx="6">
                  <c:v>69.869066456700111</c:v>
                </c:pt>
                <c:pt idx="7">
                  <c:v>70.356567823138747</c:v>
                </c:pt>
                <c:pt idx="8">
                  <c:v>69.691644298661885</c:v>
                </c:pt>
                <c:pt idx="9">
                  <c:v>69.640189715378696</c:v>
                </c:pt>
                <c:pt idx="10">
                  <c:v>72.981387964572079</c:v>
                </c:pt>
                <c:pt idx="11">
                  <c:v>69.551011104647444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'FY2013'!$C$42:$C$53</c:f>
              <c:numCache>
                <c:formatCode>"$"#,##0.00</c:formatCode>
                <c:ptCount val="12"/>
                <c:pt idx="0">
                  <c:v>71.531331869495034</c:v>
                </c:pt>
                <c:pt idx="1">
                  <c:v>74.151397463108168</c:v>
                </c:pt>
                <c:pt idx="2">
                  <c:v>77.257132373990302</c:v>
                </c:pt>
                <c:pt idx="3">
                  <c:v>71.099697554860896</c:v>
                </c:pt>
                <c:pt idx="4">
                  <c:v>73.923200983222529</c:v>
                </c:pt>
                <c:pt idx="5">
                  <c:v>73.452301340550662</c:v>
                </c:pt>
                <c:pt idx="6">
                  <c:v>69.964863140436705</c:v>
                </c:pt>
                <c:pt idx="7">
                  <c:v>70.138082945474522</c:v>
                </c:pt>
                <c:pt idx="8">
                  <c:v>71.743598556777542</c:v>
                </c:pt>
                <c:pt idx="9">
                  <c:v>73.029976033962313</c:v>
                </c:pt>
                <c:pt idx="10">
                  <c:v>74.527008679529445</c:v>
                </c:pt>
                <c:pt idx="11">
                  <c:v>71.858288281872149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'FY2012'!$C$50:$C$61</c:f>
              <c:numCache>
                <c:formatCode>"$"#,##0.00</c:formatCode>
                <c:ptCount val="12"/>
                <c:pt idx="0">
                  <c:v>74.513028556565985</c:v>
                </c:pt>
                <c:pt idx="1">
                  <c:v>75.040252533115918</c:v>
                </c:pt>
                <c:pt idx="2">
                  <c:v>77.628981041699859</c:v>
                </c:pt>
                <c:pt idx="3">
                  <c:v>74.220393747850551</c:v>
                </c:pt>
                <c:pt idx="4">
                  <c:v>75.204442269236168</c:v>
                </c:pt>
                <c:pt idx="5">
                  <c:v>73.442640684940415</c:v>
                </c:pt>
                <c:pt idx="6">
                  <c:v>73.00097182129538</c:v>
                </c:pt>
                <c:pt idx="7">
                  <c:v>71.804025371561394</c:v>
                </c:pt>
                <c:pt idx="8">
                  <c:v>73.065851685756627</c:v>
                </c:pt>
                <c:pt idx="9">
                  <c:v>72.261321238961003</c:v>
                </c:pt>
                <c:pt idx="10">
                  <c:v>71.77786742178931</c:v>
                </c:pt>
                <c:pt idx="11">
                  <c:v>73.932130116771461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'FY2011'!$C$51:$C$62</c:f>
              <c:numCache>
                <c:formatCode>"$"#,##0.00</c:formatCode>
                <c:ptCount val="12"/>
                <c:pt idx="0">
                  <c:v>74.694063147862266</c:v>
                </c:pt>
                <c:pt idx="1">
                  <c:v>74.700265331452968</c:v>
                </c:pt>
                <c:pt idx="2">
                  <c:v>76.953366410678626</c:v>
                </c:pt>
                <c:pt idx="3">
                  <c:v>75.075288726223746</c:v>
                </c:pt>
                <c:pt idx="4">
                  <c:v>74.848142617174119</c:v>
                </c:pt>
                <c:pt idx="5">
                  <c:v>73.097539944886577</c:v>
                </c:pt>
                <c:pt idx="6">
                  <c:v>74.291772227570604</c:v>
                </c:pt>
                <c:pt idx="7">
                  <c:v>73.889229022099443</c:v>
                </c:pt>
                <c:pt idx="8">
                  <c:v>72.608130704620123</c:v>
                </c:pt>
                <c:pt idx="9">
                  <c:v>74.974760464383408</c:v>
                </c:pt>
                <c:pt idx="10">
                  <c:v>73.221295087386395</c:v>
                </c:pt>
                <c:pt idx="11">
                  <c:v>74.664125337925867</c:v>
                </c:pt>
              </c:numCache>
            </c:numRef>
          </c:val>
          <c:smooth val="0"/>
        </c:ser>
        <c:ser>
          <c:idx val="5"/>
          <c:order val="5"/>
          <c:tx>
            <c:v>PIN Debit 2016</c:v>
          </c:tx>
          <c:val>
            <c:numRef>
              <c:f>'FY2016'!$C$42:$C$53</c:f>
              <c:numCache>
                <c:formatCode>"$"#,##0.00</c:formatCode>
                <c:ptCount val="12"/>
                <c:pt idx="0">
                  <c:v>69.090454892068195</c:v>
                </c:pt>
                <c:pt idx="1">
                  <c:v>70.543107609298801</c:v>
                </c:pt>
                <c:pt idx="2">
                  <c:v>70.587278350463933</c:v>
                </c:pt>
                <c:pt idx="3">
                  <c:v>70.506368603670452</c:v>
                </c:pt>
                <c:pt idx="4">
                  <c:v>69.208334902117329</c:v>
                </c:pt>
                <c:pt idx="5">
                  <c:v>66.462997924324071</c:v>
                </c:pt>
                <c:pt idx="6">
                  <c:v>67.274887451914765</c:v>
                </c:pt>
                <c:pt idx="7">
                  <c:v>66.89596223398928</c:v>
                </c:pt>
                <c:pt idx="8">
                  <c:v>65.632516059371284</c:v>
                </c:pt>
                <c:pt idx="9">
                  <c:v>68.290243556309605</c:v>
                </c:pt>
                <c:pt idx="10">
                  <c:v>66.443000655316595</c:v>
                </c:pt>
                <c:pt idx="11">
                  <c:v>67.491830078942186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488"/>
        <c:axId val="39217024"/>
      </c:lineChart>
      <c:dateAx>
        <c:axId val="392154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170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9217024"/>
        <c:scaling>
          <c:orientation val="minMax"/>
          <c:max val="8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69696969740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15488"/>
        <c:crosses val="autoZero"/>
        <c:crossBetween val="between"/>
        <c:majorUnit val="2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849565173919264E-2"/>
          <c:y val="0.82192330125400992"/>
          <c:w val="0.90732013785655763"/>
          <c:h val="0.15029892096821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FY2015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62"/>
          <c:w val="0.81174089068826905"/>
          <c:h val="0.40023728115914958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'FY2015'!$C$128:$C$139</c:f>
              <c:numCache>
                <c:formatCode>"$"#,##0.000</c:formatCode>
                <c:ptCount val="12"/>
                <c:pt idx="0">
                  <c:v>3.0683805010609494E-2</c:v>
                </c:pt>
                <c:pt idx="1">
                  <c:v>2.9644116859387976E-2</c:v>
                </c:pt>
                <c:pt idx="2">
                  <c:v>2.9862247512873384E-2</c:v>
                </c:pt>
                <c:pt idx="3">
                  <c:v>2.9760881741564868E-2</c:v>
                </c:pt>
                <c:pt idx="4">
                  <c:v>2.5821717278750111E-2</c:v>
                </c:pt>
                <c:pt idx="5">
                  <c:v>2.8686865465472403E-2</c:v>
                </c:pt>
                <c:pt idx="6">
                  <c:v>2.7776315202916294E-2</c:v>
                </c:pt>
                <c:pt idx="7">
                  <c:v>2.7300324506946461E-2</c:v>
                </c:pt>
                <c:pt idx="8">
                  <c:v>2.8182736525284621E-2</c:v>
                </c:pt>
                <c:pt idx="9">
                  <c:v>2.9201145059207664E-2</c:v>
                </c:pt>
                <c:pt idx="10">
                  <c:v>2.6310239314273051E-2</c:v>
                </c:pt>
                <c:pt idx="11">
                  <c:v>2.9020523045950857E-2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'FY2014'!$C$128:$C$139</c:f>
              <c:numCache>
                <c:formatCode>"$"#,##0.000</c:formatCode>
                <c:ptCount val="12"/>
                <c:pt idx="0">
                  <c:v>3.0445891448038904E-2</c:v>
                </c:pt>
                <c:pt idx="1">
                  <c:v>3.8960893213560631E-2</c:v>
                </c:pt>
                <c:pt idx="2">
                  <c:v>3.1369116254324078E-2</c:v>
                </c:pt>
                <c:pt idx="3">
                  <c:v>3.0668951925170804E-2</c:v>
                </c:pt>
                <c:pt idx="4">
                  <c:v>3.391168731500583E-2</c:v>
                </c:pt>
                <c:pt idx="5">
                  <c:v>3.0097397870558446E-2</c:v>
                </c:pt>
                <c:pt idx="6">
                  <c:v>3.1712016313437306E-2</c:v>
                </c:pt>
                <c:pt idx="7">
                  <c:v>3.1217377903420739E-2</c:v>
                </c:pt>
                <c:pt idx="8">
                  <c:v>3.0707062467591507E-2</c:v>
                </c:pt>
                <c:pt idx="9">
                  <c:v>3.1853879669203909E-2</c:v>
                </c:pt>
                <c:pt idx="10">
                  <c:v>2.8901459465344542E-2</c:v>
                </c:pt>
                <c:pt idx="11">
                  <c:v>3.118600235927646E-2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'FY2013'!$C$128:$C$139</c:f>
              <c:numCache>
                <c:formatCode>"$"#,##0.000</c:formatCode>
                <c:ptCount val="12"/>
                <c:pt idx="0">
                  <c:v>3.4924660237043437E-2</c:v>
                </c:pt>
                <c:pt idx="1">
                  <c:v>3.503222953628124E-2</c:v>
                </c:pt>
                <c:pt idx="2">
                  <c:v>3.4534808001367989E-2</c:v>
                </c:pt>
                <c:pt idx="3">
                  <c:v>3.4563241102860673E-2</c:v>
                </c:pt>
                <c:pt idx="4">
                  <c:v>3.5088209578171131E-2</c:v>
                </c:pt>
                <c:pt idx="5">
                  <c:v>3.4510003150898208E-2</c:v>
                </c:pt>
                <c:pt idx="6">
                  <c:v>3.294305362226839E-2</c:v>
                </c:pt>
                <c:pt idx="7">
                  <c:v>3.3103235169285219E-2</c:v>
                </c:pt>
                <c:pt idx="8">
                  <c:v>3.0696698233616846E-2</c:v>
                </c:pt>
                <c:pt idx="9">
                  <c:v>3.1186492324859462E-2</c:v>
                </c:pt>
                <c:pt idx="10">
                  <c:v>3.646699419088606E-2</c:v>
                </c:pt>
                <c:pt idx="11">
                  <c:v>2.9084935223012785E-2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'FY2012'!$C$136:$C$147</c:f>
              <c:numCache>
                <c:formatCode>"$"#,##0.000</c:formatCode>
                <c:ptCount val="12"/>
                <c:pt idx="0">
                  <c:v>3.5194163996107787E-2</c:v>
                </c:pt>
                <c:pt idx="1">
                  <c:v>3.6547658053103262E-2</c:v>
                </c:pt>
                <c:pt idx="2">
                  <c:v>3.6635089924562415E-2</c:v>
                </c:pt>
                <c:pt idx="3">
                  <c:v>3.6152357029197946E-2</c:v>
                </c:pt>
                <c:pt idx="4">
                  <c:v>3.5932402078226171E-2</c:v>
                </c:pt>
                <c:pt idx="5">
                  <c:v>3.6569524422945053E-2</c:v>
                </c:pt>
                <c:pt idx="6">
                  <c:v>3.5647073148542457E-2</c:v>
                </c:pt>
                <c:pt idx="7">
                  <c:v>3.5495024508114141E-2</c:v>
                </c:pt>
                <c:pt idx="8">
                  <c:v>3.5061107000456983E-2</c:v>
                </c:pt>
                <c:pt idx="9">
                  <c:v>3.4092608089641499E-2</c:v>
                </c:pt>
                <c:pt idx="10">
                  <c:v>3.5175054498354681E-2</c:v>
                </c:pt>
                <c:pt idx="11">
                  <c:v>3.3637815988707791E-2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'FY2011'!$C$137:$C$148</c:f>
              <c:numCache>
                <c:formatCode>"$"#,##0.00</c:formatCode>
                <c:ptCount val="12"/>
                <c:pt idx="4" formatCode="&quot;$&quot;#,##0.000">
                  <c:v>3.7642588727187475E-2</c:v>
                </c:pt>
                <c:pt idx="5" formatCode="&quot;$&quot;#,##0.000">
                  <c:v>3.8351881843550345E-2</c:v>
                </c:pt>
                <c:pt idx="6" formatCode="&quot;$&quot;#,##0.000">
                  <c:v>3.6900960989662487E-2</c:v>
                </c:pt>
                <c:pt idx="7" formatCode="&quot;$&quot;#,##0.000">
                  <c:v>3.5017458030748683E-2</c:v>
                </c:pt>
                <c:pt idx="8" formatCode="&quot;$&quot;#,##0.000">
                  <c:v>3.6444893635092387E-2</c:v>
                </c:pt>
                <c:pt idx="9" formatCode="&quot;$&quot;#,##0.000">
                  <c:v>3.6197418252775476E-2</c:v>
                </c:pt>
                <c:pt idx="10" formatCode="&quot;$&quot;#,##0.000">
                  <c:v>3.6242875435007108E-2</c:v>
                </c:pt>
                <c:pt idx="11" formatCode="&quot;$&quot;#,##0.000">
                  <c:v>3.9573241657216082E-2</c:v>
                </c:pt>
              </c:numCache>
            </c:numRef>
          </c:val>
          <c:smooth val="0"/>
        </c:ser>
        <c:ser>
          <c:idx val="5"/>
          <c:order val="5"/>
          <c:tx>
            <c:v>PIN Debit 2016</c:v>
          </c:tx>
          <c:val>
            <c:numRef>
              <c:f>'FY2016'!$C$135:$C$146</c:f>
              <c:numCache>
                <c:formatCode>"$"#,##0.000</c:formatCode>
                <c:ptCount val="12"/>
                <c:pt idx="0">
                  <c:v>2.7190802884366577E-2</c:v>
                </c:pt>
                <c:pt idx="1">
                  <c:v>2.6042697551472937E-2</c:v>
                </c:pt>
                <c:pt idx="2">
                  <c:v>2.818395048098785E-2</c:v>
                </c:pt>
                <c:pt idx="3">
                  <c:v>2.6212448659308208E-2</c:v>
                </c:pt>
                <c:pt idx="4">
                  <c:v>2.6915460067154437E-2</c:v>
                </c:pt>
                <c:pt idx="5">
                  <c:v>2.6911254445752871E-2</c:v>
                </c:pt>
                <c:pt idx="6">
                  <c:v>2.7871696313809834E-2</c:v>
                </c:pt>
                <c:pt idx="7">
                  <c:v>2.6373986895112604E-2</c:v>
                </c:pt>
                <c:pt idx="8">
                  <c:v>2.8458724457374161E-2</c:v>
                </c:pt>
                <c:pt idx="9">
                  <c:v>2.7047010702193851E-2</c:v>
                </c:pt>
                <c:pt idx="10">
                  <c:v>2.7043101583059656E-2</c:v>
                </c:pt>
                <c:pt idx="11">
                  <c:v>2.9648764051793227E-2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8480"/>
        <c:axId val="39354368"/>
      </c:lineChart>
      <c:dateAx>
        <c:axId val="393484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543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9354368"/>
        <c:scaling>
          <c:orientation val="minMax"/>
          <c:max val="4.0000000000000022E-2"/>
          <c:min val="2.400000000000001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48480"/>
        <c:crosses val="autoZero"/>
        <c:crossBetween val="between"/>
        <c:majorUnit val="2.0000000000000052E-3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1674088649418281E-2"/>
          <c:y val="0.84756456692913351"/>
          <c:w val="0.91536330282901834"/>
          <c:h val="0.15243543857717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PCI Assist
FY2016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7"/>
          <c:y val="0.30526420389325265"/>
          <c:w val="0.81274979452289986"/>
          <c:h val="0.40701893852432336"/>
        </c:manualLayout>
      </c:layout>
      <c:lineChart>
        <c:grouping val="standard"/>
        <c:varyColors val="0"/>
        <c:ser>
          <c:idx val="3"/>
          <c:order val="0"/>
          <c:tx>
            <c:v>Compliant Agencies 2015</c:v>
          </c:tx>
          <c:spPr>
            <a:ln>
              <a:solidFill>
                <a:srgbClr val="00B0F0"/>
              </a:solidFill>
            </a:ln>
          </c:spPr>
          <c:marker>
            <c:symbol val="star"/>
            <c:size val="7"/>
            <c:spPr>
              <a:ln>
                <a:solidFill>
                  <a:srgbClr val="00B0F0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'FY2015'!$D$223:$D$234</c:f>
              <c:numCache>
                <c:formatCode>#,##0</c:formatCode>
                <c:ptCount val="12"/>
                <c:pt idx="0">
                  <c:v>280</c:v>
                </c:pt>
                <c:pt idx="1">
                  <c:v>274</c:v>
                </c:pt>
                <c:pt idx="2">
                  <c:v>272</c:v>
                </c:pt>
                <c:pt idx="3">
                  <c:v>258</c:v>
                </c:pt>
                <c:pt idx="4">
                  <c:v>255</c:v>
                </c:pt>
                <c:pt idx="5">
                  <c:v>260</c:v>
                </c:pt>
                <c:pt idx="6">
                  <c:v>257</c:v>
                </c:pt>
                <c:pt idx="7">
                  <c:v>251</c:v>
                </c:pt>
                <c:pt idx="8">
                  <c:v>252</c:v>
                </c:pt>
                <c:pt idx="9">
                  <c:v>254</c:v>
                </c:pt>
                <c:pt idx="10">
                  <c:v>249</c:v>
                </c:pt>
                <c:pt idx="11">
                  <c:v>245</c:v>
                </c:pt>
              </c:numCache>
            </c:numRef>
          </c:val>
          <c:smooth val="0"/>
        </c:ser>
        <c:ser>
          <c:idx val="0"/>
          <c:order val="1"/>
          <c:tx>
            <c:v>Compliant Agencies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'FY2014'!$D$223:$D$234</c:f>
              <c:numCache>
                <c:formatCode>#,##0</c:formatCode>
                <c:ptCount val="12"/>
                <c:pt idx="0">
                  <c:v>269</c:v>
                </c:pt>
                <c:pt idx="1">
                  <c:v>270</c:v>
                </c:pt>
                <c:pt idx="2">
                  <c:v>269</c:v>
                </c:pt>
                <c:pt idx="3">
                  <c:v>268</c:v>
                </c:pt>
                <c:pt idx="4">
                  <c:v>276</c:v>
                </c:pt>
                <c:pt idx="5">
                  <c:v>274</c:v>
                </c:pt>
                <c:pt idx="6">
                  <c:v>280</c:v>
                </c:pt>
                <c:pt idx="7">
                  <c:v>287</c:v>
                </c:pt>
                <c:pt idx="8">
                  <c:v>287</c:v>
                </c:pt>
                <c:pt idx="9">
                  <c:v>285</c:v>
                </c:pt>
                <c:pt idx="10">
                  <c:v>285</c:v>
                </c:pt>
                <c:pt idx="11">
                  <c:v>277</c:v>
                </c:pt>
              </c:numCache>
            </c:numRef>
          </c:val>
          <c:smooth val="0"/>
        </c:ser>
        <c:ser>
          <c:idx val="2"/>
          <c:order val="2"/>
          <c:tx>
            <c:v>Compliant Agencies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'FY2013'!$D$223:$D$234</c:f>
              <c:numCache>
                <c:formatCode>#,##0</c:formatCode>
                <c:ptCount val="12"/>
                <c:pt idx="0">
                  <c:v>224</c:v>
                </c:pt>
                <c:pt idx="1">
                  <c:v>240</c:v>
                </c:pt>
                <c:pt idx="2">
                  <c:v>243</c:v>
                </c:pt>
                <c:pt idx="3">
                  <c:v>240</c:v>
                </c:pt>
                <c:pt idx="4">
                  <c:v>240</c:v>
                </c:pt>
                <c:pt idx="5">
                  <c:v>248</c:v>
                </c:pt>
                <c:pt idx="6">
                  <c:v>249</c:v>
                </c:pt>
                <c:pt idx="7">
                  <c:v>256</c:v>
                </c:pt>
                <c:pt idx="8">
                  <c:v>268</c:v>
                </c:pt>
                <c:pt idx="9">
                  <c:v>274</c:v>
                </c:pt>
                <c:pt idx="10">
                  <c:v>276</c:v>
                </c:pt>
                <c:pt idx="11">
                  <c:v>275</c:v>
                </c:pt>
              </c:numCache>
            </c:numRef>
          </c:val>
          <c:smooth val="0"/>
        </c:ser>
        <c:ser>
          <c:idx val="1"/>
          <c:order val="3"/>
          <c:tx>
            <c:v>Compliant Agencies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'FY2012'!$D$211:$D$222</c:f>
              <c:numCache>
                <c:formatCode>#,##0</c:formatCode>
                <c:ptCount val="12"/>
                <c:pt idx="0">
                  <c:v>14</c:v>
                </c:pt>
                <c:pt idx="1">
                  <c:v>27</c:v>
                </c:pt>
                <c:pt idx="2">
                  <c:v>38</c:v>
                </c:pt>
                <c:pt idx="3">
                  <c:v>48</c:v>
                </c:pt>
                <c:pt idx="4">
                  <c:v>66</c:v>
                </c:pt>
                <c:pt idx="5">
                  <c:v>125</c:v>
                </c:pt>
                <c:pt idx="6">
                  <c:v>173</c:v>
                </c:pt>
                <c:pt idx="7">
                  <c:v>178</c:v>
                </c:pt>
                <c:pt idx="8">
                  <c:v>197</c:v>
                </c:pt>
                <c:pt idx="9">
                  <c:v>197</c:v>
                </c:pt>
                <c:pt idx="10">
                  <c:v>206</c:v>
                </c:pt>
                <c:pt idx="11">
                  <c:v>207</c:v>
                </c:pt>
              </c:numCache>
            </c:numRef>
          </c:val>
          <c:smooth val="0"/>
        </c:ser>
        <c:ser>
          <c:idx val="4"/>
          <c:order val="4"/>
          <c:tx>
            <c:v>Compliant Agencies 2016</c:v>
          </c:tx>
          <c:val>
            <c:numRef>
              <c:f>'FY2016'!$D$255:$D$266</c:f>
              <c:numCache>
                <c:formatCode>#,##0</c:formatCode>
                <c:ptCount val="12"/>
                <c:pt idx="0">
                  <c:v>248</c:v>
                </c:pt>
                <c:pt idx="1">
                  <c:v>245</c:v>
                </c:pt>
                <c:pt idx="2">
                  <c:v>239</c:v>
                </c:pt>
                <c:pt idx="3">
                  <c:v>237</c:v>
                </c:pt>
                <c:pt idx="4">
                  <c:v>227</c:v>
                </c:pt>
                <c:pt idx="5">
                  <c:v>223</c:v>
                </c:pt>
                <c:pt idx="6">
                  <c:v>230</c:v>
                </c:pt>
                <c:pt idx="7">
                  <c:v>238</c:v>
                </c:pt>
                <c:pt idx="8">
                  <c:v>250</c:v>
                </c:pt>
                <c:pt idx="9">
                  <c:v>247</c:v>
                </c:pt>
                <c:pt idx="10">
                  <c:v>240</c:v>
                </c:pt>
                <c:pt idx="11">
                  <c:v>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63232"/>
        <c:axId val="39265024"/>
      </c:lineChart>
      <c:dateAx>
        <c:axId val="392632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650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926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63232"/>
        <c:crosses val="autoZero"/>
        <c:crossBetween val="between"/>
        <c:maj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159122914133277E-2"/>
          <c:y val="0.86223140714640334"/>
          <c:w val="0.84414280070286896"/>
          <c:h val="0.13776874506894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landscape" horizontalDpi="-3" verticalDpi="12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Mobile Device Sales Volume
FY2015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36"/>
          <c:y val="0.30526420389325304"/>
          <c:w val="0.81274979452290042"/>
          <c:h val="0.40701893852432336"/>
        </c:manualLayout>
      </c:layout>
      <c:lineChart>
        <c:grouping val="standard"/>
        <c:varyColors val="0"/>
        <c:ser>
          <c:idx val="2"/>
          <c:order val="0"/>
          <c:tx>
            <c:v>Mobile Sales 2015</c:v>
          </c:tx>
          <c:spPr>
            <a:ln>
              <a:solidFill>
                <a:srgbClr val="00B0F0"/>
              </a:solidFill>
            </a:ln>
          </c:spPr>
          <c:marker>
            <c:symbol val="star"/>
            <c:size val="7"/>
            <c:spPr>
              <a:noFill/>
              <a:ln>
                <a:solidFill>
                  <a:srgbClr val="00B0F0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'FY2015'!$D$203:$D$214</c:f>
              <c:numCache>
                <c:formatCode>"$"#,##0</c:formatCode>
                <c:ptCount val="12"/>
                <c:pt idx="0">
                  <c:v>50</c:v>
                </c:pt>
                <c:pt idx="1">
                  <c:v>405.02</c:v>
                </c:pt>
                <c:pt idx="2">
                  <c:v>0</c:v>
                </c:pt>
                <c:pt idx="3">
                  <c:v>50</c:v>
                </c:pt>
                <c:pt idx="4">
                  <c:v>18.75</c:v>
                </c:pt>
                <c:pt idx="5">
                  <c:v>1176.94</c:v>
                </c:pt>
                <c:pt idx="6">
                  <c:v>5854.5</c:v>
                </c:pt>
                <c:pt idx="7">
                  <c:v>147.44999999999999</c:v>
                </c:pt>
                <c:pt idx="8">
                  <c:v>50</c:v>
                </c:pt>
                <c:pt idx="9">
                  <c:v>100</c:v>
                </c:pt>
                <c:pt idx="10">
                  <c:v>0</c:v>
                </c:pt>
                <c:pt idx="11">
                  <c:v>50</c:v>
                </c:pt>
              </c:numCache>
            </c:numRef>
          </c:val>
          <c:smooth val="0"/>
        </c:ser>
        <c:ser>
          <c:idx val="0"/>
          <c:order val="1"/>
          <c:tx>
            <c:v>Mobile Sales 2014</c:v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'FY2014'!$D$203:$D$214</c:f>
              <c:numCache>
                <c:formatCode>"$"#,##0</c:formatCode>
                <c:ptCount val="12"/>
                <c:pt idx="0">
                  <c:v>275</c:v>
                </c:pt>
                <c:pt idx="1">
                  <c:v>287</c:v>
                </c:pt>
                <c:pt idx="2">
                  <c:v>0</c:v>
                </c:pt>
                <c:pt idx="3">
                  <c:v>1176.94</c:v>
                </c:pt>
                <c:pt idx="4">
                  <c:v>1175</c:v>
                </c:pt>
                <c:pt idx="5">
                  <c:v>5308.5</c:v>
                </c:pt>
                <c:pt idx="6">
                  <c:v>0</c:v>
                </c:pt>
                <c:pt idx="7">
                  <c:v>377.75</c:v>
                </c:pt>
                <c:pt idx="8">
                  <c:v>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Mobile Sales 2013</c:v>
          </c:tx>
          <c:spPr>
            <a:ln>
              <a:solidFill>
                <a:schemeClr val="accent4"/>
              </a:solidFill>
            </a:ln>
          </c:spPr>
          <c:marker>
            <c:symbol val="x"/>
            <c:size val="7"/>
            <c:spPr>
              <a:noFill/>
              <a:ln>
                <a:solidFill>
                  <a:schemeClr val="accent4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'FY2013'!$D$203:$D$214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167</c:v>
                </c:pt>
                <c:pt idx="7">
                  <c:v>751</c:v>
                </c:pt>
                <c:pt idx="8">
                  <c:v>2</c:v>
                </c:pt>
                <c:pt idx="9">
                  <c:v>492.5</c:v>
                </c:pt>
                <c:pt idx="10">
                  <c:v>200</c:v>
                </c:pt>
                <c:pt idx="11">
                  <c:v>160</c:v>
                </c:pt>
              </c:numCache>
            </c:numRef>
          </c:val>
          <c:smooth val="0"/>
        </c:ser>
        <c:ser>
          <c:idx val="3"/>
          <c:order val="3"/>
          <c:tx>
            <c:v>Mobile Sales 2016</c:v>
          </c:tx>
          <c:val>
            <c:numRef>
              <c:f>'FY2016'!$D$235:$D$246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0</c:v>
                </c:pt>
                <c:pt idx="4">
                  <c:v>0</c:v>
                </c:pt>
                <c:pt idx="5">
                  <c:v>4497.5</c:v>
                </c:pt>
                <c:pt idx="6">
                  <c:v>0</c:v>
                </c:pt>
                <c:pt idx="7">
                  <c:v>260</c:v>
                </c:pt>
                <c:pt idx="8">
                  <c:v>0</c:v>
                </c:pt>
                <c:pt idx="9">
                  <c:v>98</c:v>
                </c:pt>
                <c:pt idx="10">
                  <c:v>0</c:v>
                </c:pt>
                <c:pt idx="11">
                  <c:v>752.36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08288"/>
        <c:axId val="93651712"/>
      </c:lineChart>
      <c:dateAx>
        <c:axId val="393082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517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365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08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69344778087458"/>
          <c:y val="0.86223140714640389"/>
          <c:w val="0.82224844148404419"/>
          <c:h val="0.13776844909882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 horizontalDpi="-3" verticalDpi="12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Level 1, 2,</a:t>
            </a:r>
            <a:r>
              <a:rPr lang="en-US" baseline="0"/>
              <a:t> and 3 PCI Compliance</a:t>
            </a:r>
            <a:r>
              <a:rPr lang="en-US"/>
              <a:t>
FY2016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3"/>
          <c:y val="0.30526420389325287"/>
          <c:w val="0.81274979452290019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strRef>
              <c:f>'FY2015'!$D$238</c:f>
              <c:strCache>
                <c:ptCount val="1"/>
                <c:pt idx="0">
                  <c:v>Level 1 % Compliant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'FY2015'!$D$239:$D$250</c:f>
              <c:numCache>
                <c:formatCode>0%</c:formatCode>
                <c:ptCount val="1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'FY2015'!$H$238</c:f>
              <c:strCache>
                <c:ptCount val="1"/>
                <c:pt idx="0">
                  <c:v>Level 2 % Compliant </c:v>
                </c:pt>
              </c:strCache>
            </c:strRef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'FY2015'!$H$239:$H$250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'FY2015'!$K$238</c:f>
              <c:strCache>
                <c:ptCount val="1"/>
                <c:pt idx="0">
                  <c:v>Level 3 % Compliant </c:v>
                </c:pt>
              </c:strCache>
            </c:strRef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'FY2015'!$K$239:$K$250</c:f>
              <c:numCache>
                <c:formatCode>0%</c:formatCode>
                <c:ptCount val="12"/>
                <c:pt idx="0">
                  <c:v>0.7142857142857143</c:v>
                </c:pt>
                <c:pt idx="1">
                  <c:v>0.7142857142857143</c:v>
                </c:pt>
                <c:pt idx="2">
                  <c:v>0.6785714285714286</c:v>
                </c:pt>
                <c:pt idx="3">
                  <c:v>0.7142857142857143</c:v>
                </c:pt>
                <c:pt idx="4">
                  <c:v>0.73333333333333328</c:v>
                </c:pt>
                <c:pt idx="5">
                  <c:v>0.66666666666666663</c:v>
                </c:pt>
                <c:pt idx="6">
                  <c:v>0.56666666666666665</c:v>
                </c:pt>
                <c:pt idx="7">
                  <c:v>0.6</c:v>
                </c:pt>
                <c:pt idx="8">
                  <c:v>0.66666666666666663</c:v>
                </c:pt>
                <c:pt idx="9">
                  <c:v>0.66666666666666663</c:v>
                </c:pt>
                <c:pt idx="10">
                  <c:v>0.56666666666666665</c:v>
                </c:pt>
                <c:pt idx="11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73728"/>
        <c:axId val="93691904"/>
      </c:lineChart>
      <c:dateAx>
        <c:axId val="936737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919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3691904"/>
        <c:scaling>
          <c:orientation val="minMax"/>
          <c:max val="1"/>
          <c:min val="0.3000000000000003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73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38582677165317"/>
          <c:y val="0.86223140714640356"/>
          <c:w val="0.66472267543134056"/>
          <c:h val="8.4044494438195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66" r="0.75000000000001166" t="1" header="0.5" footer="0.5"/>
    <c:pageSetup orientation="landscape" horizontalDpi="-3" verticalDpi="12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FY2015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51"/>
          <c:w val="0.81174089068826882"/>
          <c:h val="0.40023728115914958"/>
        </c:manualLayout>
      </c:layout>
      <c:lineChart>
        <c:grouping val="standard"/>
        <c:varyColors val="0"/>
        <c:ser>
          <c:idx val="5"/>
          <c:order val="0"/>
          <c:tx>
            <c:v>FY2016</c:v>
          </c:tx>
          <c:cat>
            <c:numRef>
              <c:f>'FY2016'!$A$152:$A$163</c:f>
              <c:numCache>
                <c:formatCode>mmm\-yy</c:formatCode>
                <c:ptCount val="12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</c:numCache>
            </c:numRef>
          </c:cat>
          <c:val>
            <c:numRef>
              <c:f>'FY2016'!$B$152:$B$163</c:f>
              <c:numCache>
                <c:formatCode>_("$"* #,##0.000_);_("$"* \(#,##0.000\);_("$"* "-"??_);_(@_)</c:formatCode>
                <c:ptCount val="12"/>
                <c:pt idx="0">
                  <c:v>1.8660000000000001</c:v>
                </c:pt>
                <c:pt idx="1">
                  <c:v>1.865</c:v>
                </c:pt>
                <c:pt idx="2">
                  <c:v>1.9750000000000001</c:v>
                </c:pt>
                <c:pt idx="3">
                  <c:v>1.853</c:v>
                </c:pt>
                <c:pt idx="4">
                  <c:v>1.764</c:v>
                </c:pt>
                <c:pt idx="5">
                  <c:v>1.7509999999999999</c:v>
                </c:pt>
                <c:pt idx="6">
                  <c:v>1.881</c:v>
                </c:pt>
                <c:pt idx="7">
                  <c:v>1.8169999999999999</c:v>
                </c:pt>
                <c:pt idx="8">
                  <c:v>1.855</c:v>
                </c:pt>
                <c:pt idx="9">
                  <c:v>1.8188429403826962</c:v>
                </c:pt>
                <c:pt idx="10">
                  <c:v>1.8173291630913617</c:v>
                </c:pt>
                <c:pt idx="11">
                  <c:v>1.9334447146675873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8288"/>
        <c:axId val="93709824"/>
      </c:lineChart>
      <c:dateAx>
        <c:axId val="937082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09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3709824"/>
        <c:scaling>
          <c:orientation val="minMax"/>
          <c:max val="2"/>
          <c:min val="1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0_);_(&quot;$&quot;* \(#,##0.0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08288"/>
        <c:crosses val="autoZero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602919489411858E-2"/>
          <c:y val="0.84756456692913351"/>
          <c:w val="0.90814423872691585"/>
          <c:h val="0.15243543857717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FY2015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62"/>
          <c:w val="0.81174089068826905"/>
          <c:h val="0.40023728115914958"/>
        </c:manualLayout>
      </c:layout>
      <c:lineChart>
        <c:grouping val="standard"/>
        <c:varyColors val="0"/>
        <c:ser>
          <c:idx val="5"/>
          <c:order val="0"/>
          <c:tx>
            <c:v>FY2016</c:v>
          </c:tx>
          <c:cat>
            <c:numRef>
              <c:f>'FY2016'!$A$152:$A$163</c:f>
              <c:numCache>
                <c:formatCode>mmm\-yy</c:formatCode>
                <c:ptCount val="12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</c:numCache>
            </c:numRef>
          </c:cat>
          <c:val>
            <c:numRef>
              <c:f>'FY2016'!$C$152:$C$163</c:f>
              <c:numCache>
                <c:formatCode>_("$"* #,##0.000_);_("$"* \(#,##0.000\);_("$"* "-"??_);_(@_)</c:formatCode>
                <c:ptCount val="12"/>
                <c:pt idx="0">
                  <c:v>0.3</c:v>
                </c:pt>
                <c:pt idx="1">
                  <c:v>0.28899999999999998</c:v>
                </c:pt>
                <c:pt idx="2">
                  <c:v>0.308</c:v>
                </c:pt>
                <c:pt idx="3">
                  <c:v>0.29199999999999998</c:v>
                </c:pt>
                <c:pt idx="4">
                  <c:v>0.29299999999999998</c:v>
                </c:pt>
                <c:pt idx="5">
                  <c:v>0.3</c:v>
                </c:pt>
                <c:pt idx="6">
                  <c:v>0.29699999999999999</c:v>
                </c:pt>
                <c:pt idx="7">
                  <c:v>0.28699999999999998</c:v>
                </c:pt>
                <c:pt idx="8">
                  <c:v>0.29399999999999998</c:v>
                </c:pt>
                <c:pt idx="9">
                  <c:v>0.29328104805425087</c:v>
                </c:pt>
                <c:pt idx="10">
                  <c:v>0.29128846442315204</c:v>
                </c:pt>
                <c:pt idx="11">
                  <c:v>0.29821872999775562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34400"/>
        <c:axId val="93735936"/>
      </c:lineChart>
      <c:dateAx>
        <c:axId val="937344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359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3735936"/>
        <c:scaling>
          <c:orientation val="minMax"/>
          <c:max val="0.5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0_);_(&quot;$&quot;* \(#,##0.0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34400"/>
        <c:crosses val="autoZero"/>
        <c:crossBetween val="between"/>
        <c:majorUnit val="5.000000000000001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1674088649418281E-2"/>
          <c:y val="0.84756456692913351"/>
          <c:w val="0.91536330282901834"/>
          <c:h val="0.15243543857717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Ticket
FY2015 Trend</a:t>
            </a:r>
          </a:p>
        </c:rich>
      </c:tx>
      <c:layout>
        <c:manualLayout>
          <c:xMode val="edge"/>
          <c:yMode val="edge"/>
          <c:x val="0.28236961556967244"/>
          <c:y val="4.2416130986108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076923076924"/>
          <c:y val="0.30633802816901823"/>
          <c:w val="0.74291497975708498"/>
          <c:h val="0.3873239436619774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'FY2015'!$B$42:$B$53</c:f>
              <c:numCache>
                <c:formatCode>"$"#,##0.00</c:formatCode>
                <c:ptCount val="12"/>
                <c:pt idx="0">
                  <c:v>104.92466727771165</c:v>
                </c:pt>
                <c:pt idx="1">
                  <c:v>103.64268881654557</c:v>
                </c:pt>
                <c:pt idx="2">
                  <c:v>107.09134824305411</c:v>
                </c:pt>
                <c:pt idx="3">
                  <c:v>101.81282528712825</c:v>
                </c:pt>
                <c:pt idx="4">
                  <c:v>99.766985090083239</c:v>
                </c:pt>
                <c:pt idx="5">
                  <c:v>97.622069118943386</c:v>
                </c:pt>
                <c:pt idx="6">
                  <c:v>99.389354733851306</c:v>
                </c:pt>
                <c:pt idx="7">
                  <c:v>100.87750978859161</c:v>
                </c:pt>
                <c:pt idx="8">
                  <c:v>99.539863546068219</c:v>
                </c:pt>
                <c:pt idx="9">
                  <c:v>97.630480619166036</c:v>
                </c:pt>
                <c:pt idx="10">
                  <c:v>102.60333088925887</c:v>
                </c:pt>
                <c:pt idx="11">
                  <c:v>102.34502112722245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'FY2014'!$B$42:$B$53</c:f>
              <c:numCache>
                <c:formatCode>"$"#,##0.00</c:formatCode>
                <c:ptCount val="12"/>
                <c:pt idx="0">
                  <c:v>112.23421908818668</c:v>
                </c:pt>
                <c:pt idx="1">
                  <c:v>111.39053428702444</c:v>
                </c:pt>
                <c:pt idx="2">
                  <c:v>111.85412681270316</c:v>
                </c:pt>
                <c:pt idx="3">
                  <c:v>104.57913072601082</c:v>
                </c:pt>
                <c:pt idx="4">
                  <c:v>103.83446638347225</c:v>
                </c:pt>
                <c:pt idx="5">
                  <c:v>101.75635327489542</c:v>
                </c:pt>
                <c:pt idx="6">
                  <c:v>102.45078553850659</c:v>
                </c:pt>
                <c:pt idx="7">
                  <c:v>104.86605203808195</c:v>
                </c:pt>
                <c:pt idx="8">
                  <c:v>103.99235626087902</c:v>
                </c:pt>
                <c:pt idx="9">
                  <c:v>103.50197506827934</c:v>
                </c:pt>
                <c:pt idx="10">
                  <c:v>108.77887182144079</c:v>
                </c:pt>
                <c:pt idx="11">
                  <c:v>105.25311042622415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'FY2013'!$B$42:$B$53</c:f>
              <c:numCache>
                <c:formatCode>"$"#,##0.00</c:formatCode>
                <c:ptCount val="12"/>
                <c:pt idx="0">
                  <c:v>108.73950024273563</c:v>
                </c:pt>
                <c:pt idx="1">
                  <c:v>109.75460323633641</c:v>
                </c:pt>
                <c:pt idx="2">
                  <c:v>112.83830492231093</c:v>
                </c:pt>
                <c:pt idx="3">
                  <c:v>108.13076362160129</c:v>
                </c:pt>
                <c:pt idx="4">
                  <c:v>104.00862529742373</c:v>
                </c:pt>
                <c:pt idx="5">
                  <c:v>103.7889000892815</c:v>
                </c:pt>
                <c:pt idx="6">
                  <c:v>101.77304704039832</c:v>
                </c:pt>
                <c:pt idx="7">
                  <c:v>107.4334113771756</c:v>
                </c:pt>
                <c:pt idx="8">
                  <c:v>105.27192882490488</c:v>
                </c:pt>
                <c:pt idx="9">
                  <c:v>107.33458130784473</c:v>
                </c:pt>
                <c:pt idx="10">
                  <c:v>109.20263289537816</c:v>
                </c:pt>
                <c:pt idx="11">
                  <c:v>110.51389658049433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'FY2012'!$B$50:$B$61</c:f>
              <c:numCache>
                <c:formatCode>"$"#,##0.00</c:formatCode>
                <c:ptCount val="12"/>
                <c:pt idx="0">
                  <c:v>104.87587176416146</c:v>
                </c:pt>
                <c:pt idx="1">
                  <c:v>109.2566506558461</c:v>
                </c:pt>
                <c:pt idx="2">
                  <c:v>110.95790560242735</c:v>
                </c:pt>
                <c:pt idx="3">
                  <c:v>102.89695577184769</c:v>
                </c:pt>
                <c:pt idx="4">
                  <c:v>102.1088657087537</c:v>
                </c:pt>
                <c:pt idx="5">
                  <c:v>101.74116735632047</c:v>
                </c:pt>
                <c:pt idx="6">
                  <c:v>100.43686669052492</c:v>
                </c:pt>
                <c:pt idx="7">
                  <c:v>101.44484342424789</c:v>
                </c:pt>
                <c:pt idx="8">
                  <c:v>104.31766663771906</c:v>
                </c:pt>
                <c:pt idx="9">
                  <c:v>101.48431555141299</c:v>
                </c:pt>
                <c:pt idx="10">
                  <c:v>106.13461639796768</c:v>
                </c:pt>
                <c:pt idx="11">
                  <c:v>108.00339959458545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'FY2011'!$B$51:$B$62</c:f>
              <c:numCache>
                <c:formatCode>"$"#,##0.00</c:formatCode>
                <c:ptCount val="12"/>
                <c:pt idx="0">
                  <c:v>117.94980015050862</c:v>
                </c:pt>
                <c:pt idx="1">
                  <c:v>108.14084366073983</c:v>
                </c:pt>
                <c:pt idx="2">
                  <c:v>116.75032527006751</c:v>
                </c:pt>
                <c:pt idx="3">
                  <c:v>104.64912960165499</c:v>
                </c:pt>
                <c:pt idx="4">
                  <c:v>103.17269576832263</c:v>
                </c:pt>
                <c:pt idx="5">
                  <c:v>103.34002475839274</c:v>
                </c:pt>
                <c:pt idx="6">
                  <c:v>108.58253865644565</c:v>
                </c:pt>
                <c:pt idx="7">
                  <c:v>107.75404068824753</c:v>
                </c:pt>
                <c:pt idx="8">
                  <c:v>109.49560837238501</c:v>
                </c:pt>
                <c:pt idx="9">
                  <c:v>106.39337916436747</c:v>
                </c:pt>
                <c:pt idx="10">
                  <c:v>103.10412311822802</c:v>
                </c:pt>
                <c:pt idx="11">
                  <c:v>107.68393004049138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08416"/>
        <c:axId val="95326592"/>
      </c:lineChart>
      <c:dateAx>
        <c:axId val="953084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26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326592"/>
        <c:scaling>
          <c:orientation val="minMax"/>
          <c:max val="12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69696969739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08416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499325730165451E-2"/>
          <c:y val="0.85466403548191761"/>
          <c:w val="0.92196010931120709"/>
          <c:h val="0.14533596451808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Signature</a:t>
            </a:r>
            <a:r>
              <a:rPr lang="en-US" baseline="0"/>
              <a:t> Debit Interchange</a:t>
            </a:r>
            <a:r>
              <a:rPr lang="en-US"/>
              <a:t>
FY2017 Trend</a:t>
            </a:r>
          </a:p>
        </c:rich>
      </c:tx>
      <c:layout>
        <c:manualLayout>
          <c:xMode val="edge"/>
          <c:yMode val="edge"/>
          <c:x val="0.27305284830222032"/>
          <c:y val="3.6977952755906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4"/>
          <c:order val="0"/>
          <c:tx>
            <c:v>Sig Debit Intx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'FY2015'!$D$93:$D$104</c:f>
              <c:numCache>
                <c:formatCode>"$"#,##0</c:formatCode>
                <c:ptCount val="12"/>
                <c:pt idx="0">
                  <c:v>822656</c:v>
                </c:pt>
                <c:pt idx="1">
                  <c:v>746599.89999999979</c:v>
                </c:pt>
                <c:pt idx="2">
                  <c:v>818974.81</c:v>
                </c:pt>
                <c:pt idx="3">
                  <c:v>810271.25</c:v>
                </c:pt>
                <c:pt idx="4">
                  <c:v>796056.15</c:v>
                </c:pt>
                <c:pt idx="5">
                  <c:v>896322.14</c:v>
                </c:pt>
                <c:pt idx="6">
                  <c:v>834294.97</c:v>
                </c:pt>
                <c:pt idx="7">
                  <c:v>805122.59</c:v>
                </c:pt>
                <c:pt idx="8">
                  <c:v>797844.63</c:v>
                </c:pt>
                <c:pt idx="9">
                  <c:v>841715.79</c:v>
                </c:pt>
                <c:pt idx="10">
                  <c:v>792631.14</c:v>
                </c:pt>
                <c:pt idx="11">
                  <c:v>759188.33</c:v>
                </c:pt>
              </c:numCache>
            </c:numRef>
          </c:val>
          <c:smooth val="0"/>
        </c:ser>
        <c:ser>
          <c:idx val="0"/>
          <c:order val="1"/>
          <c:tx>
            <c:v>Sig Debit Intx 2014</c:v>
          </c:tx>
          <c:spPr>
            <a:ln w="12700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'FY2014'!$D$93:$D$104</c:f>
              <c:numCache>
                <c:formatCode>"$"#,##0</c:formatCode>
                <c:ptCount val="12"/>
                <c:pt idx="0">
                  <c:v>693283</c:v>
                </c:pt>
                <c:pt idx="1">
                  <c:v>728747</c:v>
                </c:pt>
                <c:pt idx="2">
                  <c:v>699606</c:v>
                </c:pt>
                <c:pt idx="3">
                  <c:v>727274</c:v>
                </c:pt>
                <c:pt idx="4">
                  <c:v>734520.17</c:v>
                </c:pt>
                <c:pt idx="5">
                  <c:v>844549</c:v>
                </c:pt>
                <c:pt idx="6">
                  <c:v>815478</c:v>
                </c:pt>
                <c:pt idx="7">
                  <c:v>852158</c:v>
                </c:pt>
                <c:pt idx="8">
                  <c:v>814222</c:v>
                </c:pt>
                <c:pt idx="9">
                  <c:v>864882</c:v>
                </c:pt>
                <c:pt idx="10">
                  <c:v>864571</c:v>
                </c:pt>
                <c:pt idx="11">
                  <c:v>820259</c:v>
                </c:pt>
              </c:numCache>
            </c:numRef>
          </c:val>
          <c:smooth val="0"/>
        </c:ser>
        <c:ser>
          <c:idx val="3"/>
          <c:order val="2"/>
          <c:tx>
            <c:v>Sig Debit Intx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'FY2013'!$D$93:$D$104</c:f>
              <c:numCache>
                <c:formatCode>"$"#,##0</c:formatCode>
                <c:ptCount val="12"/>
                <c:pt idx="0">
                  <c:v>714621</c:v>
                </c:pt>
                <c:pt idx="1">
                  <c:v>662887</c:v>
                </c:pt>
                <c:pt idx="2">
                  <c:v>684392</c:v>
                </c:pt>
                <c:pt idx="3">
                  <c:v>714127</c:v>
                </c:pt>
                <c:pt idx="4">
                  <c:v>702297</c:v>
                </c:pt>
                <c:pt idx="5">
                  <c:v>831895</c:v>
                </c:pt>
                <c:pt idx="6">
                  <c:v>753678</c:v>
                </c:pt>
                <c:pt idx="7">
                  <c:v>821527</c:v>
                </c:pt>
                <c:pt idx="8">
                  <c:v>826812</c:v>
                </c:pt>
                <c:pt idx="9">
                  <c:v>792155.5</c:v>
                </c:pt>
                <c:pt idx="10">
                  <c:v>814111</c:v>
                </c:pt>
                <c:pt idx="11">
                  <c:v>726496</c:v>
                </c:pt>
              </c:numCache>
            </c:numRef>
          </c:val>
          <c:smooth val="0"/>
        </c:ser>
        <c:ser>
          <c:idx val="2"/>
          <c:order val="3"/>
          <c:tx>
            <c:v>Sig Debit Intx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'FY2012'!$D$101:$D$112</c:f>
              <c:numCache>
                <c:formatCode>"$"#,##0</c:formatCode>
                <c:ptCount val="12"/>
                <c:pt idx="0">
                  <c:v>695078</c:v>
                </c:pt>
                <c:pt idx="1">
                  <c:v>669850.65</c:v>
                </c:pt>
                <c:pt idx="2">
                  <c:v>713838</c:v>
                </c:pt>
                <c:pt idx="3">
                  <c:v>693499</c:v>
                </c:pt>
                <c:pt idx="4">
                  <c:v>753063.25999999791</c:v>
                </c:pt>
                <c:pt idx="5">
                  <c:v>823340.15</c:v>
                </c:pt>
                <c:pt idx="6">
                  <c:v>740126</c:v>
                </c:pt>
                <c:pt idx="7">
                  <c:v>787384</c:v>
                </c:pt>
                <c:pt idx="8">
                  <c:v>807399</c:v>
                </c:pt>
                <c:pt idx="9">
                  <c:v>768086</c:v>
                </c:pt>
                <c:pt idx="10">
                  <c:v>801845.52</c:v>
                </c:pt>
                <c:pt idx="11">
                  <c:v>730956</c:v>
                </c:pt>
              </c:numCache>
            </c:numRef>
          </c:val>
          <c:smooth val="0"/>
        </c:ser>
        <c:ser>
          <c:idx val="1"/>
          <c:order val="4"/>
          <c:tx>
            <c:v>Sig Debit Intx 2011</c:v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'FY2011'!$D$102:$D$113</c:f>
              <c:numCache>
                <c:formatCode>"$"#,##0</c:formatCode>
                <c:ptCount val="12"/>
                <c:pt idx="0">
                  <c:v>1056049</c:v>
                </c:pt>
                <c:pt idx="1">
                  <c:v>975947</c:v>
                </c:pt>
                <c:pt idx="2">
                  <c:v>1063565</c:v>
                </c:pt>
                <c:pt idx="3">
                  <c:v>1026501</c:v>
                </c:pt>
                <c:pt idx="4">
                  <c:v>1093455</c:v>
                </c:pt>
                <c:pt idx="5">
                  <c:v>1283904</c:v>
                </c:pt>
                <c:pt idx="6">
                  <c:v>1197405</c:v>
                </c:pt>
                <c:pt idx="7">
                  <c:v>1210519</c:v>
                </c:pt>
                <c:pt idx="8">
                  <c:v>1259255</c:v>
                </c:pt>
                <c:pt idx="9">
                  <c:v>1309200</c:v>
                </c:pt>
                <c:pt idx="10">
                  <c:v>1252713</c:v>
                </c:pt>
                <c:pt idx="11">
                  <c:v>1169794</c:v>
                </c:pt>
              </c:numCache>
            </c:numRef>
          </c:val>
          <c:smooth val="0"/>
        </c:ser>
        <c:ser>
          <c:idx val="5"/>
          <c:order val="5"/>
          <c:tx>
            <c:v>Sig Debit Intx 2016</c:v>
          </c:tx>
          <c:val>
            <c:numRef>
              <c:f>'FY2016'!$C$100:$C$111</c:f>
              <c:numCache>
                <c:formatCode>"$"#,##0</c:formatCode>
                <c:ptCount val="12"/>
                <c:pt idx="0">
                  <c:v>155684065.27000001</c:v>
                </c:pt>
                <c:pt idx="1">
                  <c:v>137431140.58000001</c:v>
                </c:pt>
                <c:pt idx="2">
                  <c:v>150880948.49000001</c:v>
                </c:pt>
                <c:pt idx="3">
                  <c:v>150033333.88</c:v>
                </c:pt>
                <c:pt idx="4">
                  <c:v>150420589.31</c:v>
                </c:pt>
                <c:pt idx="5">
                  <c:v>168277615.47</c:v>
                </c:pt>
                <c:pt idx="6">
                  <c:v>163824768.66999999</c:v>
                </c:pt>
                <c:pt idx="7">
                  <c:v>164263735.62</c:v>
                </c:pt>
                <c:pt idx="8">
                  <c:v>176991148.19</c:v>
                </c:pt>
                <c:pt idx="9">
                  <c:v>178226549</c:v>
                </c:pt>
                <c:pt idx="10">
                  <c:v>173937029</c:v>
                </c:pt>
                <c:pt idx="11">
                  <c:v>166599921.99000001</c:v>
                </c:pt>
              </c:numCache>
            </c:numRef>
          </c:val>
          <c:smooth val="0"/>
        </c:ser>
        <c:ser>
          <c:idx val="6"/>
          <c:order val="6"/>
          <c:tx>
            <c:v>Sig Debit Intx 2017</c:v>
          </c:tx>
          <c:val>
            <c:numRef>
              <c:f>'FY2017'!$D$100:$D$111</c:f>
              <c:numCache>
                <c:formatCode>_("$"* #,##0.00_);_("$"* \(#,##0.00\);_("$"* "-"??_);_(@_)</c:formatCode>
                <c:ptCount val="12"/>
                <c:pt idx="0">
                  <c:v>798910.8699999972</c:v>
                </c:pt>
                <c:pt idx="1">
                  <c:v>771278.92999999807</c:v>
                </c:pt>
                <c:pt idx="2">
                  <c:v>798286.48999999929</c:v>
                </c:pt>
                <c:pt idx="3">
                  <c:v>760518.78999999689</c:v>
                </c:pt>
                <c:pt idx="4">
                  <c:v>787516.98000000138</c:v>
                </c:pt>
                <c:pt idx="5">
                  <c:v>972860.17999999889</c:v>
                </c:pt>
                <c:pt idx="6">
                  <c:v>876821.39999999793</c:v>
                </c:pt>
                <c:pt idx="7">
                  <c:v>880234.60999999905</c:v>
                </c:pt>
                <c:pt idx="8">
                  <c:v>904947</c:v>
                </c:pt>
                <c:pt idx="9">
                  <c:v>870378.34999999928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50336"/>
        <c:axId val="79551872"/>
      </c:lineChart>
      <c:dateAx>
        <c:axId val="795503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518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9551872"/>
        <c:scaling>
          <c:orientation val="minMax"/>
          <c:max val="1500000"/>
          <c:min val="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50336"/>
        <c:crosses val="autoZero"/>
        <c:crossBetween val="between"/>
        <c:majorUnit val="2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4918688449063"/>
          <c:y val="0.83165472440944965"/>
          <c:w val="0.81047087522940964"/>
          <c:h val="0.1683454274098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Sales Dollars
FY2015 Trend</a:t>
            </a:r>
          </a:p>
        </c:rich>
      </c:tx>
      <c:layout>
        <c:manualLayout>
          <c:xMode val="edge"/>
          <c:yMode val="edge"/>
          <c:x val="0.31400000000000372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0000000000041"/>
          <c:y val="0.32089610704311111"/>
          <c:w val="0.72200000000000064"/>
          <c:h val="0.37313500818966283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'FY2015'!$B$9:$B$20</c:f>
              <c:numCache>
                <c:formatCode>_("$"* #,##0_);_("$"* \(#,##0\);_("$"* "-"??_);_(@_)</c:formatCode>
                <c:ptCount val="12"/>
                <c:pt idx="0">
                  <c:v>758973630</c:v>
                </c:pt>
                <c:pt idx="1">
                  <c:v>677167126.63999927</c:v>
                </c:pt>
                <c:pt idx="2">
                  <c:v>730514100.90999997</c:v>
                </c:pt>
                <c:pt idx="3">
                  <c:v>718958290.85000098</c:v>
                </c:pt>
                <c:pt idx="4">
                  <c:v>668596431.94000006</c:v>
                </c:pt>
                <c:pt idx="5">
                  <c:v>759367810.3299998</c:v>
                </c:pt>
                <c:pt idx="6">
                  <c:v>762861402.02999997</c:v>
                </c:pt>
                <c:pt idx="7">
                  <c:v>809506507.1700021</c:v>
                </c:pt>
                <c:pt idx="8">
                  <c:v>796770122.57000005</c:v>
                </c:pt>
                <c:pt idx="9">
                  <c:v>815864536.90999877</c:v>
                </c:pt>
                <c:pt idx="10">
                  <c:v>826734957.31999803</c:v>
                </c:pt>
                <c:pt idx="11">
                  <c:v>774204059.38000107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'FY2014'!$B$9:$B$20</c:f>
              <c:numCache>
                <c:formatCode>_("$"* #,##0_);_("$"* \(#,##0\);_("$"* "-"??_);_(@_)</c:formatCode>
                <c:ptCount val="12"/>
                <c:pt idx="0">
                  <c:v>689409353</c:v>
                </c:pt>
                <c:pt idx="1">
                  <c:v>693290007</c:v>
                </c:pt>
                <c:pt idx="2">
                  <c:v>673525486</c:v>
                </c:pt>
                <c:pt idx="3">
                  <c:v>682596248</c:v>
                </c:pt>
                <c:pt idx="4">
                  <c:v>647829362</c:v>
                </c:pt>
                <c:pt idx="5">
                  <c:v>723835475</c:v>
                </c:pt>
                <c:pt idx="6">
                  <c:v>735333649</c:v>
                </c:pt>
                <c:pt idx="7">
                  <c:v>790695800</c:v>
                </c:pt>
                <c:pt idx="8">
                  <c:v>764718191</c:v>
                </c:pt>
                <c:pt idx="9">
                  <c:v>814964719</c:v>
                </c:pt>
                <c:pt idx="10">
                  <c:v>843195944</c:v>
                </c:pt>
                <c:pt idx="11">
                  <c:v>744935941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'FY2013'!$B$9:$B$20</c:f>
              <c:numCache>
                <c:formatCode>_("$"* #,##0_);_("$"* \(#,##0\);_("$"* "-"??_);_(@_)</c:formatCode>
                <c:ptCount val="12"/>
                <c:pt idx="0">
                  <c:v>680250064.61000001</c:v>
                </c:pt>
                <c:pt idx="1">
                  <c:v>650197903.55999994</c:v>
                </c:pt>
                <c:pt idx="2">
                  <c:v>662760523.16999996</c:v>
                </c:pt>
                <c:pt idx="3">
                  <c:v>686130893</c:v>
                </c:pt>
                <c:pt idx="4">
                  <c:v>633172788.17999995</c:v>
                </c:pt>
                <c:pt idx="5">
                  <c:v>727835334</c:v>
                </c:pt>
                <c:pt idx="6">
                  <c:v>678295172</c:v>
                </c:pt>
                <c:pt idx="7">
                  <c:v>777536960</c:v>
                </c:pt>
                <c:pt idx="8">
                  <c:v>755631799</c:v>
                </c:pt>
                <c:pt idx="9">
                  <c:v>754715702.38</c:v>
                </c:pt>
                <c:pt idx="10">
                  <c:v>782383137</c:v>
                </c:pt>
                <c:pt idx="11">
                  <c:v>713017868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'FY2012'!$B$17:$B$28</c:f>
              <c:numCache>
                <c:formatCode>_("$"* #,##0_);_("$"* \(#,##0\);_("$"* "-"??_);_(@_)</c:formatCode>
                <c:ptCount val="12"/>
                <c:pt idx="0">
                  <c:v>628448001</c:v>
                </c:pt>
                <c:pt idx="1">
                  <c:v>621659635.08000004</c:v>
                </c:pt>
                <c:pt idx="2">
                  <c:v>656784254</c:v>
                </c:pt>
                <c:pt idx="3">
                  <c:v>610669972</c:v>
                </c:pt>
                <c:pt idx="4">
                  <c:v>626246437</c:v>
                </c:pt>
                <c:pt idx="5">
                  <c:v>691400416.17999995</c:v>
                </c:pt>
                <c:pt idx="6">
                  <c:v>645492676.69000006</c:v>
                </c:pt>
                <c:pt idx="7">
                  <c:v>718060180</c:v>
                </c:pt>
                <c:pt idx="8">
                  <c:v>742356437</c:v>
                </c:pt>
                <c:pt idx="9">
                  <c:v>710657823</c:v>
                </c:pt>
                <c:pt idx="10">
                  <c:v>753939134.65999997</c:v>
                </c:pt>
                <c:pt idx="11">
                  <c:v>684600825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'FY2011'!$B$18:$B$29</c:f>
              <c:numCache>
                <c:formatCode>_("$"* #,##0_);_("$"* \(#,##0\);_("$"* "-"??_);_(@_)</c:formatCode>
                <c:ptCount val="12"/>
                <c:pt idx="0">
                  <c:v>643239706.91999936</c:v>
                </c:pt>
                <c:pt idx="1">
                  <c:v>563623696.85000002</c:v>
                </c:pt>
                <c:pt idx="2">
                  <c:v>644106174</c:v>
                </c:pt>
                <c:pt idx="3">
                  <c:v>572836045</c:v>
                </c:pt>
                <c:pt idx="4">
                  <c:v>568963267</c:v>
                </c:pt>
                <c:pt idx="5">
                  <c:v>660066737</c:v>
                </c:pt>
                <c:pt idx="6">
                  <c:v>664490173</c:v>
                </c:pt>
                <c:pt idx="7">
                  <c:v>677854809</c:v>
                </c:pt>
                <c:pt idx="8">
                  <c:v>714424682</c:v>
                </c:pt>
                <c:pt idx="9">
                  <c:v>728432697</c:v>
                </c:pt>
                <c:pt idx="10">
                  <c:v>677421927</c:v>
                </c:pt>
                <c:pt idx="11">
                  <c:v>667170972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1616"/>
        <c:axId val="94193152"/>
      </c:lineChart>
      <c:dateAx>
        <c:axId val="941916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93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4193152"/>
        <c:scaling>
          <c:orientation val="minMax"/>
          <c:min val="550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6.3590232285929823E-3"/>
              <c:y val="0.488806764020831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91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471415510049356E-2"/>
          <c:y val="0.83463825809729264"/>
          <c:w val="0.94140126502359445"/>
          <c:h val="0.165361741902707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Number of Transactions
FY2015</a:t>
            </a:r>
            <a:r>
              <a:rPr lang="en-US" baseline="0"/>
              <a:t> </a:t>
            </a:r>
            <a:r>
              <a:rPr lang="en-US"/>
              <a:t>Trend</a:t>
            </a:r>
          </a:p>
        </c:rich>
      </c:tx>
      <c:layout>
        <c:manualLayout>
          <c:xMode val="edge"/>
          <c:yMode val="edge"/>
          <c:x val="0.31388329979879842"/>
          <c:y val="3.7453183520599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53"/>
          <c:w val="0.74446680080482897"/>
          <c:h val="0.3707878730244775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'FY2015'!$B$25:$B$36</c:f>
              <c:numCache>
                <c:formatCode>[Black]#,##0;[Black]\-#,##0</c:formatCode>
                <c:ptCount val="12"/>
                <c:pt idx="0">
                  <c:v>7233510</c:v>
                </c:pt>
                <c:pt idx="1">
                  <c:v>6533670</c:v>
                </c:pt>
                <c:pt idx="2">
                  <c:v>6821411</c:v>
                </c:pt>
                <c:pt idx="3">
                  <c:v>7061569</c:v>
                </c:pt>
                <c:pt idx="4">
                  <c:v>6701580</c:v>
                </c:pt>
                <c:pt idx="5">
                  <c:v>7778649</c:v>
                </c:pt>
                <c:pt idx="6">
                  <c:v>7675484</c:v>
                </c:pt>
                <c:pt idx="7">
                  <c:v>8024648</c:v>
                </c:pt>
                <c:pt idx="8">
                  <c:v>8004533</c:v>
                </c:pt>
                <c:pt idx="9">
                  <c:v>8356658</c:v>
                </c:pt>
                <c:pt idx="10">
                  <c:v>8057584</c:v>
                </c:pt>
                <c:pt idx="11">
                  <c:v>7564648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'FY2014'!$B$25:$B$36</c:f>
              <c:numCache>
                <c:formatCode>[Black]#,##0;[Black]\-#,##0</c:formatCode>
                <c:ptCount val="12"/>
                <c:pt idx="0">
                  <c:v>6142595</c:v>
                </c:pt>
                <c:pt idx="1">
                  <c:v>6223958</c:v>
                </c:pt>
                <c:pt idx="2">
                  <c:v>6021463</c:v>
                </c:pt>
                <c:pt idx="3">
                  <c:v>6527079</c:v>
                </c:pt>
                <c:pt idx="4">
                  <c:v>6239059</c:v>
                </c:pt>
                <c:pt idx="5">
                  <c:v>7113418</c:v>
                </c:pt>
                <c:pt idx="6">
                  <c:v>7177433</c:v>
                </c:pt>
                <c:pt idx="7">
                  <c:v>7540055</c:v>
                </c:pt>
                <c:pt idx="8">
                  <c:v>7353600</c:v>
                </c:pt>
                <c:pt idx="9">
                  <c:v>7873905</c:v>
                </c:pt>
                <c:pt idx="10">
                  <c:v>7751468</c:v>
                </c:pt>
                <c:pt idx="11">
                  <c:v>7077567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'FY2013'!$B$25:$B$36</c:f>
              <c:numCache>
                <c:formatCode>[Black]#,##0;[Black]\-#,##0</c:formatCode>
                <c:ptCount val="12"/>
                <c:pt idx="0">
                  <c:v>6255777</c:v>
                </c:pt>
                <c:pt idx="1">
                  <c:v>5924106</c:v>
                </c:pt>
                <c:pt idx="2">
                  <c:v>5873542</c:v>
                </c:pt>
                <c:pt idx="3">
                  <c:v>6345381</c:v>
                </c:pt>
                <c:pt idx="4">
                  <c:v>6087695</c:v>
                </c:pt>
                <c:pt idx="5">
                  <c:v>7012651</c:v>
                </c:pt>
                <c:pt idx="6">
                  <c:v>6664782</c:v>
                </c:pt>
                <c:pt idx="7">
                  <c:v>7237385</c:v>
                </c:pt>
                <c:pt idx="8">
                  <c:v>7177904</c:v>
                </c:pt>
                <c:pt idx="9">
                  <c:v>7031431</c:v>
                </c:pt>
                <c:pt idx="10">
                  <c:v>7164508</c:v>
                </c:pt>
                <c:pt idx="11">
                  <c:v>6451839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'FY2012'!$B$33:$B$44</c:f>
              <c:numCache>
                <c:formatCode>[Black]#,##0;[Black]\-#,##0</c:formatCode>
                <c:ptCount val="12"/>
                <c:pt idx="0">
                  <c:v>5992303</c:v>
                </c:pt>
                <c:pt idx="1">
                  <c:v>5689902</c:v>
                </c:pt>
                <c:pt idx="2">
                  <c:v>5919220</c:v>
                </c:pt>
                <c:pt idx="3">
                  <c:v>5934772</c:v>
                </c:pt>
                <c:pt idx="4">
                  <c:v>6133125</c:v>
                </c:pt>
                <c:pt idx="5">
                  <c:v>6795680</c:v>
                </c:pt>
                <c:pt idx="6">
                  <c:v>6426850</c:v>
                </c:pt>
                <c:pt idx="7">
                  <c:v>7078331</c:v>
                </c:pt>
                <c:pt idx="8">
                  <c:v>7116306</c:v>
                </c:pt>
                <c:pt idx="9">
                  <c:v>7002637</c:v>
                </c:pt>
                <c:pt idx="10">
                  <c:v>7103612</c:v>
                </c:pt>
                <c:pt idx="11">
                  <c:v>6338697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'FY2011'!$B$34:$B$45</c:f>
              <c:numCache>
                <c:formatCode>[Black]#,##0;[Black]\-#,##0</c:formatCode>
                <c:ptCount val="12"/>
                <c:pt idx="0">
                  <c:v>5453504</c:v>
                </c:pt>
                <c:pt idx="1">
                  <c:v>5211941</c:v>
                </c:pt>
                <c:pt idx="2">
                  <c:v>5516954</c:v>
                </c:pt>
                <c:pt idx="3">
                  <c:v>5473873</c:v>
                </c:pt>
                <c:pt idx="4">
                  <c:v>5514669</c:v>
                </c:pt>
                <c:pt idx="5">
                  <c:v>6387329</c:v>
                </c:pt>
                <c:pt idx="6">
                  <c:v>6119678</c:v>
                </c:pt>
                <c:pt idx="7">
                  <c:v>6290760</c:v>
                </c:pt>
                <c:pt idx="8">
                  <c:v>6524688</c:v>
                </c:pt>
                <c:pt idx="9">
                  <c:v>6846598</c:v>
                </c:pt>
                <c:pt idx="10">
                  <c:v>6570270</c:v>
                </c:pt>
                <c:pt idx="11">
                  <c:v>6195641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60128"/>
        <c:axId val="95361664"/>
      </c:lineChart>
      <c:dateAx>
        <c:axId val="953601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61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361664"/>
        <c:scaling>
          <c:orientation val="minMax"/>
          <c:max val="8500000"/>
          <c:min val="47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9.7945547113117842E-3"/>
              <c:y val="0.3632970833703583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#,##0;[Black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60128"/>
        <c:crosses val="autoZero"/>
        <c:crossBetween val="between"/>
        <c:majorUnit val="5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134194353754561E-2"/>
          <c:y val="0.8401827200046319"/>
          <c:w val="0.93297268100633757"/>
          <c:h val="0.15981727999536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
FY2015 Trend</a:t>
            </a:r>
          </a:p>
        </c:rich>
      </c:tx>
      <c:layout>
        <c:manualLayout>
          <c:xMode val="edge"/>
          <c:yMode val="edge"/>
          <c:x val="0.31400000000000372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0000000000012"/>
          <c:y val="0.31970260223049007"/>
          <c:w val="0.81200000000000061"/>
          <c:h val="0.3754646840148847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'FY2015'!$B$59:$B$70</c:f>
              <c:numCache>
                <c:formatCode>"$"#,##0</c:formatCode>
                <c:ptCount val="12"/>
                <c:pt idx="0">
                  <c:v>12605011.77</c:v>
                </c:pt>
                <c:pt idx="1">
                  <c:v>11089098.919999998</c:v>
                </c:pt>
                <c:pt idx="2">
                  <c:v>11855954.990000002</c:v>
                </c:pt>
                <c:pt idx="3">
                  <c:v>11521941.280000001</c:v>
                </c:pt>
                <c:pt idx="4">
                  <c:v>10607183.880000001</c:v>
                </c:pt>
                <c:pt idx="5">
                  <c:v>12249009.709999999</c:v>
                </c:pt>
                <c:pt idx="6">
                  <c:v>12717715.84</c:v>
                </c:pt>
                <c:pt idx="7">
                  <c:v>13491019.829999998</c:v>
                </c:pt>
                <c:pt idx="8">
                  <c:v>13240671.910000002</c:v>
                </c:pt>
                <c:pt idx="9">
                  <c:v>13657598.440000001</c:v>
                </c:pt>
                <c:pt idx="10">
                  <c:v>13688915.84</c:v>
                </c:pt>
                <c:pt idx="11">
                  <c:v>12955617.279999999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'FY2014'!$B$59:$B$70</c:f>
              <c:numCache>
                <c:formatCode>"$"#,##0</c:formatCode>
                <c:ptCount val="12"/>
                <c:pt idx="0">
                  <c:v>11208320.709999999</c:v>
                </c:pt>
                <c:pt idx="1">
                  <c:v>11086599.040000001</c:v>
                </c:pt>
                <c:pt idx="2">
                  <c:v>10864014.720000001</c:v>
                </c:pt>
                <c:pt idx="3">
                  <c:v>10882043.560000001</c:v>
                </c:pt>
                <c:pt idx="4">
                  <c:v>10176580</c:v>
                </c:pt>
                <c:pt idx="5">
                  <c:v>11349258.65</c:v>
                </c:pt>
                <c:pt idx="6">
                  <c:v>11869675.34</c:v>
                </c:pt>
                <c:pt idx="7">
                  <c:v>12846913.58</c:v>
                </c:pt>
                <c:pt idx="8">
                  <c:v>12482566.360000001</c:v>
                </c:pt>
                <c:pt idx="9">
                  <c:v>12844355.149999999</c:v>
                </c:pt>
                <c:pt idx="10">
                  <c:v>14391386.869999999</c:v>
                </c:pt>
                <c:pt idx="11">
                  <c:v>11903990.560000001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'FY2013'!$B$59:$B$70</c:f>
              <c:numCache>
                <c:formatCode>"$"#,##0</c:formatCode>
                <c:ptCount val="12"/>
                <c:pt idx="0">
                  <c:v>9906263.3499999996</c:v>
                </c:pt>
                <c:pt idx="1">
                  <c:v>10335858.539999999</c:v>
                </c:pt>
                <c:pt idx="2">
                  <c:v>10481313.57</c:v>
                </c:pt>
                <c:pt idx="3">
                  <c:v>11020817.949999999</c:v>
                </c:pt>
                <c:pt idx="4">
                  <c:v>10016656.34</c:v>
                </c:pt>
                <c:pt idx="5">
                  <c:v>11525646.879999999</c:v>
                </c:pt>
                <c:pt idx="6">
                  <c:v>11455928.32</c:v>
                </c:pt>
                <c:pt idx="7">
                  <c:v>12438261.300000001</c:v>
                </c:pt>
                <c:pt idx="8">
                  <c:v>12147493.199999999</c:v>
                </c:pt>
                <c:pt idx="9">
                  <c:v>12154274.180000002</c:v>
                </c:pt>
                <c:pt idx="10">
                  <c:v>12031129.640000001</c:v>
                </c:pt>
                <c:pt idx="11">
                  <c:v>11478861.59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'FY2012'!$B$67:$B$78</c:f>
              <c:numCache>
                <c:formatCode>"$"#,##0</c:formatCode>
                <c:ptCount val="12"/>
                <c:pt idx="0">
                  <c:v>9710032.9700000007</c:v>
                </c:pt>
                <c:pt idx="1">
                  <c:v>9634886.9399999995</c:v>
                </c:pt>
                <c:pt idx="2">
                  <c:v>10149741</c:v>
                </c:pt>
                <c:pt idx="3">
                  <c:v>9394360</c:v>
                </c:pt>
                <c:pt idx="4">
                  <c:v>9469837.1799999997</c:v>
                </c:pt>
                <c:pt idx="5">
                  <c:v>10537308.210000001</c:v>
                </c:pt>
                <c:pt idx="6">
                  <c:v>10016212.059999999</c:v>
                </c:pt>
                <c:pt idx="7">
                  <c:v>11415144</c:v>
                </c:pt>
                <c:pt idx="8">
                  <c:v>11812731</c:v>
                </c:pt>
                <c:pt idx="9">
                  <c:v>11349766</c:v>
                </c:pt>
                <c:pt idx="10">
                  <c:v>12089605.68</c:v>
                </c:pt>
                <c:pt idx="11">
                  <c:v>10923025.050000001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'FY2011'!$B$68:$B$79</c:f>
              <c:numCache>
                <c:formatCode>"$"#,##0</c:formatCode>
                <c:ptCount val="12"/>
                <c:pt idx="0">
                  <c:v>10754188.27999996</c:v>
                </c:pt>
                <c:pt idx="1">
                  <c:v>9229645.3699999992</c:v>
                </c:pt>
                <c:pt idx="2">
                  <c:v>10607398.27</c:v>
                </c:pt>
                <c:pt idx="3">
                  <c:v>9304238.8599999994</c:v>
                </c:pt>
                <c:pt idx="4">
                  <c:v>9168267</c:v>
                </c:pt>
                <c:pt idx="5">
                  <c:v>10804872.029999999</c:v>
                </c:pt>
                <c:pt idx="6">
                  <c:v>11039319</c:v>
                </c:pt>
                <c:pt idx="7">
                  <c:v>11244004</c:v>
                </c:pt>
                <c:pt idx="8">
                  <c:v>12028464</c:v>
                </c:pt>
                <c:pt idx="9">
                  <c:v>12168184.85</c:v>
                </c:pt>
                <c:pt idx="10">
                  <c:v>11351389</c:v>
                </c:pt>
                <c:pt idx="11">
                  <c:v>11211485.620000001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06336"/>
        <c:axId val="95416320"/>
      </c:lineChart>
      <c:dateAx>
        <c:axId val="954063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163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416320"/>
        <c:scaling>
          <c:orientation val="minMax"/>
          <c:max val="15000000"/>
          <c:min val="9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06336"/>
        <c:crosses val="autoZero"/>
        <c:crossBetween val="between"/>
        <c:majorUnit val="1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4972451346943727E-2"/>
          <c:y val="0.84862535228578995"/>
          <c:w val="0.93176036227641501"/>
          <c:h val="0.151374647714227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Signature</a:t>
            </a:r>
            <a:r>
              <a:rPr lang="en-US" baseline="0"/>
              <a:t> Debit Interchange</a:t>
            </a:r>
            <a:r>
              <a:rPr lang="en-US"/>
              <a:t>
FY2015 Trend</a:t>
            </a:r>
          </a:p>
        </c:rich>
      </c:tx>
      <c:layout>
        <c:manualLayout>
          <c:xMode val="edge"/>
          <c:yMode val="edge"/>
          <c:x val="0.27305284830222032"/>
          <c:y val="3.6977952755906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4"/>
          <c:order val="0"/>
          <c:tx>
            <c:v>Sig Debit Intx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'FY2015'!$D$93:$D$104</c:f>
              <c:numCache>
                <c:formatCode>"$"#,##0</c:formatCode>
                <c:ptCount val="12"/>
                <c:pt idx="0">
                  <c:v>822656</c:v>
                </c:pt>
                <c:pt idx="1">
                  <c:v>746599.89999999979</c:v>
                </c:pt>
                <c:pt idx="2">
                  <c:v>818974.81</c:v>
                </c:pt>
                <c:pt idx="3">
                  <c:v>810271.25</c:v>
                </c:pt>
                <c:pt idx="4">
                  <c:v>796056.15</c:v>
                </c:pt>
                <c:pt idx="5">
                  <c:v>896322.14</c:v>
                </c:pt>
                <c:pt idx="6">
                  <c:v>834294.97</c:v>
                </c:pt>
                <c:pt idx="7">
                  <c:v>805122.59</c:v>
                </c:pt>
                <c:pt idx="8">
                  <c:v>797844.63</c:v>
                </c:pt>
                <c:pt idx="9">
                  <c:v>841715.79</c:v>
                </c:pt>
                <c:pt idx="10">
                  <c:v>792631.14</c:v>
                </c:pt>
                <c:pt idx="11">
                  <c:v>759188.33</c:v>
                </c:pt>
              </c:numCache>
            </c:numRef>
          </c:val>
          <c:smooth val="0"/>
        </c:ser>
        <c:ser>
          <c:idx val="0"/>
          <c:order val="1"/>
          <c:tx>
            <c:v>Sig Debit Intx 2014</c:v>
          </c:tx>
          <c:spPr>
            <a:ln w="12700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'FY2014'!$D$93:$D$104</c:f>
              <c:numCache>
                <c:formatCode>"$"#,##0</c:formatCode>
                <c:ptCount val="12"/>
                <c:pt idx="0">
                  <c:v>693283</c:v>
                </c:pt>
                <c:pt idx="1">
                  <c:v>728747</c:v>
                </c:pt>
                <c:pt idx="2">
                  <c:v>699606</c:v>
                </c:pt>
                <c:pt idx="3">
                  <c:v>727274</c:v>
                </c:pt>
                <c:pt idx="4">
                  <c:v>734520.17</c:v>
                </c:pt>
                <c:pt idx="5">
                  <c:v>844549</c:v>
                </c:pt>
                <c:pt idx="6">
                  <c:v>815478</c:v>
                </c:pt>
                <c:pt idx="7">
                  <c:v>852158</c:v>
                </c:pt>
                <c:pt idx="8">
                  <c:v>814222</c:v>
                </c:pt>
                <c:pt idx="9">
                  <c:v>864882</c:v>
                </c:pt>
                <c:pt idx="10">
                  <c:v>864571</c:v>
                </c:pt>
                <c:pt idx="11">
                  <c:v>820259</c:v>
                </c:pt>
              </c:numCache>
            </c:numRef>
          </c:val>
          <c:smooth val="0"/>
        </c:ser>
        <c:ser>
          <c:idx val="3"/>
          <c:order val="2"/>
          <c:tx>
            <c:v>Sig Debit Intx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'FY2013'!$D$93:$D$104</c:f>
              <c:numCache>
                <c:formatCode>"$"#,##0</c:formatCode>
                <c:ptCount val="12"/>
                <c:pt idx="0">
                  <c:v>714621</c:v>
                </c:pt>
                <c:pt idx="1">
                  <c:v>662887</c:v>
                </c:pt>
                <c:pt idx="2">
                  <c:v>684392</c:v>
                </c:pt>
                <c:pt idx="3">
                  <c:v>714127</c:v>
                </c:pt>
                <c:pt idx="4">
                  <c:v>702297</c:v>
                </c:pt>
                <c:pt idx="5">
                  <c:v>831895</c:v>
                </c:pt>
                <c:pt idx="6">
                  <c:v>753678</c:v>
                </c:pt>
                <c:pt idx="7">
                  <c:v>821527</c:v>
                </c:pt>
                <c:pt idx="8">
                  <c:v>826812</c:v>
                </c:pt>
                <c:pt idx="9">
                  <c:v>792155.5</c:v>
                </c:pt>
                <c:pt idx="10">
                  <c:v>814111</c:v>
                </c:pt>
                <c:pt idx="11">
                  <c:v>726496</c:v>
                </c:pt>
              </c:numCache>
            </c:numRef>
          </c:val>
          <c:smooth val="0"/>
        </c:ser>
        <c:ser>
          <c:idx val="2"/>
          <c:order val="3"/>
          <c:tx>
            <c:v>Sig Debit Intx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'FY2012'!$D$101:$D$112</c:f>
              <c:numCache>
                <c:formatCode>"$"#,##0</c:formatCode>
                <c:ptCount val="12"/>
                <c:pt idx="0">
                  <c:v>695078</c:v>
                </c:pt>
                <c:pt idx="1">
                  <c:v>669850.65</c:v>
                </c:pt>
                <c:pt idx="2">
                  <c:v>713838</c:v>
                </c:pt>
                <c:pt idx="3">
                  <c:v>693499</c:v>
                </c:pt>
                <c:pt idx="4">
                  <c:v>753063.25999999791</c:v>
                </c:pt>
                <c:pt idx="5">
                  <c:v>823340.15</c:v>
                </c:pt>
                <c:pt idx="6">
                  <c:v>740126</c:v>
                </c:pt>
                <c:pt idx="7">
                  <c:v>787384</c:v>
                </c:pt>
                <c:pt idx="8">
                  <c:v>807399</c:v>
                </c:pt>
                <c:pt idx="9">
                  <c:v>768086</c:v>
                </c:pt>
                <c:pt idx="10">
                  <c:v>801845.52</c:v>
                </c:pt>
                <c:pt idx="11">
                  <c:v>730956</c:v>
                </c:pt>
              </c:numCache>
            </c:numRef>
          </c:val>
          <c:smooth val="0"/>
        </c:ser>
        <c:ser>
          <c:idx val="1"/>
          <c:order val="4"/>
          <c:tx>
            <c:v>Sig Debit Intx 2011</c:v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'FY2011'!$D$102:$D$113</c:f>
              <c:numCache>
                <c:formatCode>"$"#,##0</c:formatCode>
                <c:ptCount val="12"/>
                <c:pt idx="0">
                  <c:v>1056049</c:v>
                </c:pt>
                <c:pt idx="1">
                  <c:v>975947</c:v>
                </c:pt>
                <c:pt idx="2">
                  <c:v>1063565</c:v>
                </c:pt>
                <c:pt idx="3">
                  <c:v>1026501</c:v>
                </c:pt>
                <c:pt idx="4">
                  <c:v>1093455</c:v>
                </c:pt>
                <c:pt idx="5">
                  <c:v>1283904</c:v>
                </c:pt>
                <c:pt idx="6">
                  <c:v>1197405</c:v>
                </c:pt>
                <c:pt idx="7">
                  <c:v>1210519</c:v>
                </c:pt>
                <c:pt idx="8">
                  <c:v>1259255</c:v>
                </c:pt>
                <c:pt idx="9">
                  <c:v>1309200</c:v>
                </c:pt>
                <c:pt idx="10">
                  <c:v>1252713</c:v>
                </c:pt>
                <c:pt idx="11">
                  <c:v>1169794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75232"/>
        <c:axId val="107381504"/>
      </c:lineChart>
      <c:dateAx>
        <c:axId val="1073752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815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7381504"/>
        <c:scaling>
          <c:orientation val="minMax"/>
          <c:max val="1500000"/>
          <c:min val="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75232"/>
        <c:crosses val="autoZero"/>
        <c:crossBetween val="between"/>
        <c:majorUnit val="2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19583539136045"/>
          <c:y val="0.83165472440944965"/>
          <c:w val="0.80965908327923253"/>
          <c:h val="0.16834527559055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New Set-Ups
FY2015 Trend</a:t>
            </a:r>
          </a:p>
        </c:rich>
      </c:tx>
      <c:layout>
        <c:manualLayout>
          <c:xMode val="edge"/>
          <c:yMode val="edge"/>
          <c:x val="0.36952086193320893"/>
          <c:y val="3.85964084750375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39071414610363E-2"/>
          <c:y val="0.18640530421719456"/>
          <c:w val="0.88571232295841651"/>
          <c:h val="0.56391262012710952"/>
        </c:manualLayout>
      </c:layout>
      <c:lineChart>
        <c:grouping val="standard"/>
        <c:varyColors val="0"/>
        <c:ser>
          <c:idx val="8"/>
          <c:order val="0"/>
          <c:tx>
            <c:v>New Account Setup 2015</c:v>
          </c:tx>
          <c:spPr>
            <a:ln>
              <a:solidFill>
                <a:srgbClr val="00B0F0"/>
              </a:solidFill>
            </a:ln>
          </c:spPr>
          <c:marker>
            <c:symbol val="star"/>
            <c:size val="7"/>
            <c:spPr>
              <a:ln>
                <a:solidFill>
                  <a:srgbClr val="00B0F0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'FY2015'!$B$147:$B$158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12</c:v>
                </c:pt>
                <c:pt idx="8">
                  <c:v>18</c:v>
                </c:pt>
                <c:pt idx="9">
                  <c:v>2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ser>
          <c:idx val="0"/>
          <c:order val="1"/>
          <c:tx>
            <c:v>New Account Setup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'FY2014'!$B$147:$B$158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  <c:pt idx="4">
                  <c:v>15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  <c:pt idx="9">
                  <c:v>2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ser>
          <c:idx val="6"/>
          <c:order val="2"/>
          <c:tx>
            <c:v>New Account Setup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'FY2013'!$B$147:$B$158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29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  <c:smooth val="0"/>
        </c:ser>
        <c:ser>
          <c:idx val="4"/>
          <c:order val="3"/>
          <c:tx>
            <c:v>New Account Setup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'FY2012'!$B$155:$B$166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  <c:smooth val="0"/>
        </c:ser>
        <c:ser>
          <c:idx val="2"/>
          <c:order val="4"/>
          <c:tx>
            <c:v>New Account Setup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'FY2011'!$B$156:$B$167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9"/>
          <c:order val="5"/>
          <c:tx>
            <c:v>New Location Only Setup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'FY2015'!$C$147:$C$158</c:f>
              <c:numCache>
                <c:formatCode>General</c:formatCode>
                <c:ptCount val="12"/>
                <c:pt idx="0">
                  <c:v>17</c:v>
                </c:pt>
                <c:pt idx="1">
                  <c:v>54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New Location Only Setup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'FY2014'!$C$147:$C$158</c:f>
              <c:numCache>
                <c:formatCode>General</c:formatCode>
                <c:ptCount val="12"/>
                <c:pt idx="0">
                  <c:v>20</c:v>
                </c:pt>
                <c:pt idx="1">
                  <c:v>11</c:v>
                </c:pt>
                <c:pt idx="2">
                  <c:v>20</c:v>
                </c:pt>
                <c:pt idx="3">
                  <c:v>18</c:v>
                </c:pt>
                <c:pt idx="4">
                  <c:v>36</c:v>
                </c:pt>
                <c:pt idx="5">
                  <c:v>19</c:v>
                </c:pt>
                <c:pt idx="6">
                  <c:v>34</c:v>
                </c:pt>
                <c:pt idx="7">
                  <c:v>18</c:v>
                </c:pt>
                <c:pt idx="8">
                  <c:v>1235</c:v>
                </c:pt>
                <c:pt idx="9">
                  <c:v>15</c:v>
                </c:pt>
                <c:pt idx="10">
                  <c:v>27</c:v>
                </c:pt>
                <c:pt idx="11">
                  <c:v>17</c:v>
                </c:pt>
              </c:numCache>
            </c:numRef>
          </c:val>
          <c:smooth val="0"/>
        </c:ser>
        <c:ser>
          <c:idx val="7"/>
          <c:order val="7"/>
          <c:tx>
            <c:v>New Location Only Setup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'FY2013'!$C$147:$C$158</c:f>
              <c:numCache>
                <c:formatCode>General</c:formatCode>
                <c:ptCount val="12"/>
                <c:pt idx="0">
                  <c:v>87</c:v>
                </c:pt>
                <c:pt idx="1">
                  <c:v>10</c:v>
                </c:pt>
                <c:pt idx="2">
                  <c:v>79</c:v>
                </c:pt>
                <c:pt idx="3">
                  <c:v>161</c:v>
                </c:pt>
                <c:pt idx="4">
                  <c:v>10</c:v>
                </c:pt>
                <c:pt idx="5">
                  <c:v>3</c:v>
                </c:pt>
                <c:pt idx="6">
                  <c:v>28</c:v>
                </c:pt>
                <c:pt idx="7">
                  <c:v>28</c:v>
                </c:pt>
                <c:pt idx="8">
                  <c:v>1</c:v>
                </c:pt>
                <c:pt idx="9">
                  <c:v>212</c:v>
                </c:pt>
                <c:pt idx="10">
                  <c:v>23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8"/>
          <c:tx>
            <c:v>New Location Only Setup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'FY2012'!$C$155:$C$166</c:f>
              <c:numCache>
                <c:formatCode>General</c:formatCode>
                <c:ptCount val="12"/>
                <c:pt idx="0">
                  <c:v>14</c:v>
                </c:pt>
                <c:pt idx="1">
                  <c:v>9</c:v>
                </c:pt>
                <c:pt idx="2">
                  <c:v>9</c:v>
                </c:pt>
                <c:pt idx="3">
                  <c:v>59</c:v>
                </c:pt>
                <c:pt idx="4">
                  <c:v>108</c:v>
                </c:pt>
                <c:pt idx="5">
                  <c:v>62</c:v>
                </c:pt>
                <c:pt idx="6">
                  <c:v>31</c:v>
                </c:pt>
                <c:pt idx="7">
                  <c:v>23</c:v>
                </c:pt>
                <c:pt idx="8">
                  <c:v>41</c:v>
                </c:pt>
                <c:pt idx="9">
                  <c:v>36</c:v>
                </c:pt>
                <c:pt idx="10">
                  <c:v>28</c:v>
                </c:pt>
                <c:pt idx="11">
                  <c:v>18</c:v>
                </c:pt>
              </c:numCache>
            </c:numRef>
          </c:val>
          <c:smooth val="0"/>
        </c:ser>
        <c:ser>
          <c:idx val="3"/>
          <c:order val="9"/>
          <c:tx>
            <c:v>New Location Only Setup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'FY2011'!$C$156:$C$167</c:f>
              <c:numCache>
                <c:formatCode>General</c:formatCode>
                <c:ptCount val="12"/>
                <c:pt idx="0">
                  <c:v>45</c:v>
                </c:pt>
                <c:pt idx="1">
                  <c:v>46</c:v>
                </c:pt>
                <c:pt idx="2">
                  <c:v>14</c:v>
                </c:pt>
                <c:pt idx="3">
                  <c:v>22</c:v>
                </c:pt>
                <c:pt idx="4">
                  <c:v>24</c:v>
                </c:pt>
                <c:pt idx="5">
                  <c:v>57</c:v>
                </c:pt>
                <c:pt idx="6">
                  <c:v>13</c:v>
                </c:pt>
                <c:pt idx="7">
                  <c:v>54</c:v>
                </c:pt>
                <c:pt idx="8">
                  <c:v>60</c:v>
                </c:pt>
                <c:pt idx="9">
                  <c:v>10</c:v>
                </c:pt>
                <c:pt idx="10">
                  <c:v>15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77344"/>
        <c:axId val="107578880"/>
      </c:lineChart>
      <c:dateAx>
        <c:axId val="1075773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788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7578880"/>
        <c:scaling>
          <c:orientation val="minMax"/>
          <c:max val="1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77344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04435933596571E-2"/>
          <c:y val="0.83308719231905271"/>
          <c:w val="0.97117248963111691"/>
          <c:h val="0.16691280768094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 horizontalDpi="-3" verticalDpi="12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Network Fees
FY2015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3036437247187"/>
          <c:y val="0.30106344157989551"/>
          <c:w val="0.8137651821862345"/>
          <c:h val="0.4002372811591495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'FY2015'!$B$76:$B$87</c:f>
              <c:numCache>
                <c:formatCode>"$"#,##0</c:formatCode>
                <c:ptCount val="12"/>
                <c:pt idx="0">
                  <c:v>946543.42999999993</c:v>
                </c:pt>
                <c:pt idx="1">
                  <c:v>850274.5900000002</c:v>
                </c:pt>
                <c:pt idx="2">
                  <c:v>916756.33000000007</c:v>
                </c:pt>
                <c:pt idx="3">
                  <c:v>959105.0900000002</c:v>
                </c:pt>
                <c:pt idx="4">
                  <c:v>940501.68000000017</c:v>
                </c:pt>
                <c:pt idx="5">
                  <c:v>1048066.0700000003</c:v>
                </c:pt>
                <c:pt idx="6">
                  <c:v>1049677.6000000003</c:v>
                </c:pt>
                <c:pt idx="7">
                  <c:v>1116060.0999999999</c:v>
                </c:pt>
                <c:pt idx="8">
                  <c:v>1120471.5700000005</c:v>
                </c:pt>
                <c:pt idx="9">
                  <c:v>1129411.1899999997</c:v>
                </c:pt>
                <c:pt idx="10">
                  <c:v>1148800.26</c:v>
                </c:pt>
                <c:pt idx="11">
                  <c:v>1079614.9700000002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'FY2014'!$B$76:$B$87</c:f>
              <c:numCache>
                <c:formatCode>"$"#,##0</c:formatCode>
                <c:ptCount val="12"/>
                <c:pt idx="0">
                  <c:v>835605.80999999982</c:v>
                </c:pt>
                <c:pt idx="1">
                  <c:v>843777.25</c:v>
                </c:pt>
                <c:pt idx="2">
                  <c:v>828297.13000000012</c:v>
                </c:pt>
                <c:pt idx="3">
                  <c:v>849557.98000000068</c:v>
                </c:pt>
                <c:pt idx="4">
                  <c:v>811839.42999999982</c:v>
                </c:pt>
                <c:pt idx="5">
                  <c:v>907254.31</c:v>
                </c:pt>
                <c:pt idx="6">
                  <c:v>930072.83000000019</c:v>
                </c:pt>
                <c:pt idx="7">
                  <c:v>1021434.3900000002</c:v>
                </c:pt>
                <c:pt idx="8">
                  <c:v>964629.56</c:v>
                </c:pt>
                <c:pt idx="9">
                  <c:v>1018159.4600000004</c:v>
                </c:pt>
                <c:pt idx="10">
                  <c:v>1020595.0499999998</c:v>
                </c:pt>
                <c:pt idx="11">
                  <c:v>959615.01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'FY2013'!$B$76:$B$87</c:f>
              <c:numCache>
                <c:formatCode>"$"#,##0</c:formatCode>
                <c:ptCount val="12"/>
                <c:pt idx="0">
                  <c:v>828338.27000000025</c:v>
                </c:pt>
                <c:pt idx="1">
                  <c:v>788749.7699999999</c:v>
                </c:pt>
                <c:pt idx="2">
                  <c:v>798354.00999999978</c:v>
                </c:pt>
                <c:pt idx="3">
                  <c:v>826666.86</c:v>
                </c:pt>
                <c:pt idx="4">
                  <c:v>778684.64999999991</c:v>
                </c:pt>
                <c:pt idx="5">
                  <c:v>884092.4</c:v>
                </c:pt>
                <c:pt idx="6">
                  <c:v>841286.8600000001</c:v>
                </c:pt>
                <c:pt idx="7">
                  <c:v>904893.62000000023</c:v>
                </c:pt>
                <c:pt idx="8">
                  <c:v>933936.03</c:v>
                </c:pt>
                <c:pt idx="9">
                  <c:v>930942.11</c:v>
                </c:pt>
                <c:pt idx="10">
                  <c:v>948706.93</c:v>
                </c:pt>
                <c:pt idx="11">
                  <c:v>874303.06999999937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'FY2012'!$B$84:$B$95</c:f>
              <c:numCache>
                <c:formatCode>"$"#,##0</c:formatCode>
                <c:ptCount val="12"/>
                <c:pt idx="0">
                  <c:v>658627.5</c:v>
                </c:pt>
                <c:pt idx="1">
                  <c:v>648592</c:v>
                </c:pt>
                <c:pt idx="2">
                  <c:v>682470.53</c:v>
                </c:pt>
                <c:pt idx="3">
                  <c:v>654762.35</c:v>
                </c:pt>
                <c:pt idx="4">
                  <c:v>675088.63000000012</c:v>
                </c:pt>
                <c:pt idx="5">
                  <c:v>738130.39</c:v>
                </c:pt>
                <c:pt idx="6">
                  <c:v>757972.45000000007</c:v>
                </c:pt>
                <c:pt idx="7">
                  <c:v>846944.13</c:v>
                </c:pt>
                <c:pt idx="8">
                  <c:v>880652.52000000014</c:v>
                </c:pt>
                <c:pt idx="9">
                  <c:v>853362.1100000001</c:v>
                </c:pt>
                <c:pt idx="10">
                  <c:v>890581.28</c:v>
                </c:pt>
                <c:pt idx="11">
                  <c:v>848319.48999999987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'FY2011'!$B$85:$B$96</c:f>
              <c:numCache>
                <c:formatCode>"$"#,##0</c:formatCode>
                <c:ptCount val="12"/>
                <c:pt idx="0">
                  <c:v>650582.87</c:v>
                </c:pt>
                <c:pt idx="1">
                  <c:v>586329.14000000013</c:v>
                </c:pt>
                <c:pt idx="2">
                  <c:v>660166.44999999995</c:v>
                </c:pt>
                <c:pt idx="3">
                  <c:v>585522.64</c:v>
                </c:pt>
                <c:pt idx="4">
                  <c:v>608020.66999999993</c:v>
                </c:pt>
                <c:pt idx="5">
                  <c:v>702297.44</c:v>
                </c:pt>
                <c:pt idx="6">
                  <c:v>693580</c:v>
                </c:pt>
                <c:pt idx="7">
                  <c:v>717799.28</c:v>
                </c:pt>
                <c:pt idx="8">
                  <c:v>751491.67</c:v>
                </c:pt>
                <c:pt idx="9">
                  <c:v>770050.96</c:v>
                </c:pt>
                <c:pt idx="10">
                  <c:v>729298.57000000007</c:v>
                </c:pt>
                <c:pt idx="11">
                  <c:v>700181.32000000007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00288"/>
        <c:axId val="107501824"/>
      </c:lineChart>
      <c:dateAx>
        <c:axId val="1075002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01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7501824"/>
        <c:scaling>
          <c:orientation val="minMax"/>
          <c:max val="1200000"/>
          <c:min val="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00288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3633484027424332E-2"/>
          <c:y val="0.8534925196850397"/>
          <c:w val="0.93996970150594295"/>
          <c:h val="0.14650748031496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Terminals</a:t>
            </a:r>
            <a:r>
              <a:rPr lang="en-US" baseline="0"/>
              <a:t> on File</a:t>
            </a:r>
            <a:r>
              <a:rPr lang="en-US"/>
              <a:t>
FY2015 Trend</a:t>
            </a:r>
          </a:p>
        </c:rich>
      </c:tx>
      <c:layout>
        <c:manualLayout>
          <c:xMode val="edge"/>
          <c:yMode val="edge"/>
          <c:x val="0.37659666464012237"/>
          <c:y val="3.8596676188147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2"/>
          <c:y val="0.30526420389325226"/>
          <c:w val="0.81274979452289908"/>
          <c:h val="0.40701893852432336"/>
        </c:manualLayout>
      </c:layout>
      <c:lineChart>
        <c:grouping val="standard"/>
        <c:varyColors val="0"/>
        <c:ser>
          <c:idx val="4"/>
          <c:order val="0"/>
          <c:tx>
            <c:v>Active Terminals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'FY2015'!$B$164:$B$175</c:f>
              <c:numCache>
                <c:formatCode>#,##0</c:formatCode>
                <c:ptCount val="12"/>
                <c:pt idx="0">
                  <c:v>9934</c:v>
                </c:pt>
                <c:pt idx="1">
                  <c:v>9572</c:v>
                </c:pt>
                <c:pt idx="2">
                  <c:v>9586</c:v>
                </c:pt>
                <c:pt idx="3">
                  <c:v>9525</c:v>
                </c:pt>
                <c:pt idx="4">
                  <c:v>9462</c:v>
                </c:pt>
                <c:pt idx="5">
                  <c:v>9489</c:v>
                </c:pt>
                <c:pt idx="6">
                  <c:v>9598</c:v>
                </c:pt>
                <c:pt idx="7">
                  <c:v>9546</c:v>
                </c:pt>
                <c:pt idx="8">
                  <c:v>9685</c:v>
                </c:pt>
                <c:pt idx="9">
                  <c:v>10029</c:v>
                </c:pt>
                <c:pt idx="10">
                  <c:v>10544</c:v>
                </c:pt>
                <c:pt idx="11">
                  <c:v>11069</c:v>
                </c:pt>
              </c:numCache>
            </c:numRef>
          </c:val>
          <c:smooth val="0"/>
        </c:ser>
        <c:ser>
          <c:idx val="0"/>
          <c:order val="1"/>
          <c:tx>
            <c:v>Active Terminals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'FY2014'!$B$164:$B$175</c:f>
              <c:numCache>
                <c:formatCode>#,##0</c:formatCode>
                <c:ptCount val="12"/>
                <c:pt idx="0">
                  <c:v>8029</c:v>
                </c:pt>
                <c:pt idx="1">
                  <c:v>8036</c:v>
                </c:pt>
                <c:pt idx="2">
                  <c:v>8112</c:v>
                </c:pt>
                <c:pt idx="3">
                  <c:v>8140</c:v>
                </c:pt>
                <c:pt idx="4">
                  <c:v>7941</c:v>
                </c:pt>
                <c:pt idx="5">
                  <c:v>7984</c:v>
                </c:pt>
                <c:pt idx="6">
                  <c:v>8064</c:v>
                </c:pt>
                <c:pt idx="7">
                  <c:v>8091</c:v>
                </c:pt>
                <c:pt idx="8">
                  <c:v>9345</c:v>
                </c:pt>
                <c:pt idx="9">
                  <c:v>9386</c:v>
                </c:pt>
                <c:pt idx="10">
                  <c:v>9419</c:v>
                </c:pt>
                <c:pt idx="11">
                  <c:v>9462</c:v>
                </c:pt>
              </c:numCache>
            </c:numRef>
          </c:val>
          <c:smooth val="0"/>
        </c:ser>
        <c:ser>
          <c:idx val="3"/>
          <c:order val="2"/>
          <c:tx>
            <c:v>Active Terminals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'FY2013'!$B$164:$B$175</c:f>
              <c:numCache>
                <c:formatCode>#,##0</c:formatCode>
                <c:ptCount val="12"/>
                <c:pt idx="0">
                  <c:v>7236</c:v>
                </c:pt>
                <c:pt idx="1">
                  <c:v>7267</c:v>
                </c:pt>
                <c:pt idx="2">
                  <c:v>7362</c:v>
                </c:pt>
                <c:pt idx="3">
                  <c:v>7550</c:v>
                </c:pt>
                <c:pt idx="4">
                  <c:v>7572</c:v>
                </c:pt>
                <c:pt idx="5">
                  <c:v>7487</c:v>
                </c:pt>
                <c:pt idx="6">
                  <c:v>7554</c:v>
                </c:pt>
                <c:pt idx="7">
                  <c:v>7598</c:v>
                </c:pt>
                <c:pt idx="8">
                  <c:v>7648</c:v>
                </c:pt>
                <c:pt idx="9">
                  <c:v>7877</c:v>
                </c:pt>
                <c:pt idx="10">
                  <c:v>7935</c:v>
                </c:pt>
                <c:pt idx="11">
                  <c:v>8032</c:v>
                </c:pt>
              </c:numCache>
            </c:numRef>
          </c:val>
          <c:smooth val="0"/>
        </c:ser>
        <c:ser>
          <c:idx val="2"/>
          <c:order val="3"/>
          <c:tx>
            <c:v>Active Terminals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'FY2012'!$B$172:$B$183</c:f>
              <c:numCache>
                <c:formatCode>#,##0</c:formatCode>
                <c:ptCount val="12"/>
                <c:pt idx="0">
                  <c:v>6478</c:v>
                </c:pt>
                <c:pt idx="1">
                  <c:v>6489</c:v>
                </c:pt>
                <c:pt idx="2">
                  <c:v>6525</c:v>
                </c:pt>
                <c:pt idx="3">
                  <c:v>6618</c:v>
                </c:pt>
                <c:pt idx="4">
                  <c:v>6778</c:v>
                </c:pt>
                <c:pt idx="5">
                  <c:v>6815</c:v>
                </c:pt>
                <c:pt idx="6">
                  <c:v>6856</c:v>
                </c:pt>
                <c:pt idx="7">
                  <c:v>6922</c:v>
                </c:pt>
                <c:pt idx="8">
                  <c:v>6969</c:v>
                </c:pt>
                <c:pt idx="9">
                  <c:v>6988</c:v>
                </c:pt>
                <c:pt idx="10">
                  <c:v>7051</c:v>
                </c:pt>
                <c:pt idx="11">
                  <c:v>7139</c:v>
                </c:pt>
              </c:numCache>
            </c:numRef>
          </c:val>
          <c:smooth val="0"/>
        </c:ser>
        <c:ser>
          <c:idx val="1"/>
          <c:order val="4"/>
          <c:tx>
            <c:v>Active Terminals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'FY2011'!$B$173:$B$184</c:f>
              <c:numCache>
                <c:formatCode>#,##0</c:formatCode>
                <c:ptCount val="12"/>
                <c:pt idx="0">
                  <c:v>5829</c:v>
                </c:pt>
                <c:pt idx="1">
                  <c:v>5890</c:v>
                </c:pt>
                <c:pt idx="2">
                  <c:v>5909</c:v>
                </c:pt>
                <c:pt idx="3">
                  <c:v>5961</c:v>
                </c:pt>
                <c:pt idx="4">
                  <c:v>6024</c:v>
                </c:pt>
                <c:pt idx="5">
                  <c:v>6130</c:v>
                </c:pt>
                <c:pt idx="6">
                  <c:v>6169</c:v>
                </c:pt>
                <c:pt idx="7">
                  <c:v>6236</c:v>
                </c:pt>
                <c:pt idx="8">
                  <c:v>6324</c:v>
                </c:pt>
                <c:pt idx="9">
                  <c:v>6360</c:v>
                </c:pt>
                <c:pt idx="10">
                  <c:v>6392</c:v>
                </c:pt>
                <c:pt idx="11">
                  <c:v>6455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43040"/>
        <c:axId val="107944960"/>
      </c:lineChart>
      <c:dateAx>
        <c:axId val="1079430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44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7944960"/>
        <c:scaling>
          <c:orientation val="minMax"/>
          <c:max val="11000"/>
          <c:min val="5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43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208253786498341E-2"/>
          <c:y val="0.85936045264490724"/>
          <c:w val="0.92267636793106489"/>
          <c:h val="0.140639547355097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landscape" horizontalDpi="-3" verticalDpi="120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Chargebacks 
FY2015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4"/>
          <c:y val="0.30526420389325243"/>
          <c:w val="0.81274979452289953"/>
          <c:h val="0.40701893852432336"/>
        </c:manualLayout>
      </c:layout>
      <c:lineChart>
        <c:grouping val="standard"/>
        <c:varyColors val="0"/>
        <c:ser>
          <c:idx val="4"/>
          <c:order val="0"/>
          <c:tx>
            <c:v>Chargebacks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'FY2015'!$D$183:$D$194</c:f>
              <c:numCache>
                <c:formatCode>0.000%</c:formatCode>
                <c:ptCount val="12"/>
                <c:pt idx="0">
                  <c:v>1.2497390616726873E-4</c:v>
                </c:pt>
                <c:pt idx="1">
                  <c:v>1.0759649630299663E-4</c:v>
                </c:pt>
                <c:pt idx="2">
                  <c:v>1.1024112166822964E-4</c:v>
                </c:pt>
                <c:pt idx="3">
                  <c:v>1.4585993566019109E-4</c:v>
                </c:pt>
                <c:pt idx="4">
                  <c:v>1.0519907245753987E-4</c:v>
                </c:pt>
                <c:pt idx="5">
                  <c:v>9.9374582912791157E-5</c:v>
                </c:pt>
                <c:pt idx="6">
                  <c:v>1.1152391171683766E-4</c:v>
                </c:pt>
                <c:pt idx="7">
                  <c:v>1.0206055144101024E-4</c:v>
                </c:pt>
                <c:pt idx="8">
                  <c:v>1.0968784812305727E-4</c:v>
                </c:pt>
                <c:pt idx="9">
                  <c:v>1.1128850791787818E-4</c:v>
                </c:pt>
                <c:pt idx="10">
                  <c:v>1.0536657141892656E-4</c:v>
                </c:pt>
                <c:pt idx="11">
                  <c:v>1.0522631059634236E-4</c:v>
                </c:pt>
              </c:numCache>
            </c:numRef>
          </c:val>
          <c:smooth val="0"/>
        </c:ser>
        <c:ser>
          <c:idx val="0"/>
          <c:order val="1"/>
          <c:tx>
            <c:v>Chargebacks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'FY2014'!$D$183:$D$194</c:f>
              <c:numCache>
                <c:formatCode>0.000%</c:formatCode>
                <c:ptCount val="12"/>
                <c:pt idx="0">
                  <c:v>1.7077472957276199E-4</c:v>
                </c:pt>
                <c:pt idx="1">
                  <c:v>1.3528368925368712E-4</c:v>
                </c:pt>
                <c:pt idx="2">
                  <c:v>1.1907405226935713E-4</c:v>
                </c:pt>
                <c:pt idx="3">
                  <c:v>1.0923722541124445E-4</c:v>
                </c:pt>
                <c:pt idx="4">
                  <c:v>1.0947163666828604E-4</c:v>
                </c:pt>
                <c:pt idx="5">
                  <c:v>9.6296885688427141E-5</c:v>
                </c:pt>
                <c:pt idx="6">
                  <c:v>9.2512183673466544E-5</c:v>
                </c:pt>
                <c:pt idx="7">
                  <c:v>8.8195643135229119E-5</c:v>
                </c:pt>
                <c:pt idx="8">
                  <c:v>9.3151653611836383E-5</c:v>
                </c:pt>
                <c:pt idx="9">
                  <c:v>9.9315396871056994E-5</c:v>
                </c:pt>
                <c:pt idx="10">
                  <c:v>1.1597803151609475E-4</c:v>
                </c:pt>
                <c:pt idx="11">
                  <c:v>2.0656816106438838E-4</c:v>
                </c:pt>
              </c:numCache>
            </c:numRef>
          </c:val>
          <c:smooth val="0"/>
        </c:ser>
        <c:ser>
          <c:idx val="3"/>
          <c:order val="2"/>
          <c:tx>
            <c:v>Chargebacks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'FY2013'!$D$183:$D$194</c:f>
              <c:numCache>
                <c:formatCode>0.000%</c:formatCode>
                <c:ptCount val="12"/>
                <c:pt idx="0">
                  <c:v>1.0486307296439755E-4</c:v>
                </c:pt>
                <c:pt idx="1">
                  <c:v>1.1107161148028074E-4</c:v>
                </c:pt>
                <c:pt idx="2">
                  <c:v>9.0064904618031169E-5</c:v>
                </c:pt>
                <c:pt idx="3">
                  <c:v>8.6362032476852056E-5</c:v>
                </c:pt>
                <c:pt idx="4">
                  <c:v>8.5418208369506031E-5</c:v>
                </c:pt>
                <c:pt idx="5">
                  <c:v>9.1691430245138399E-5</c:v>
                </c:pt>
                <c:pt idx="6">
                  <c:v>9.9027995214247071E-5</c:v>
                </c:pt>
                <c:pt idx="7">
                  <c:v>1.0155601781582713E-4</c:v>
                </c:pt>
                <c:pt idx="8">
                  <c:v>1.1214973061774022E-4</c:v>
                </c:pt>
                <c:pt idx="9">
                  <c:v>1.1377484896033255E-4</c:v>
                </c:pt>
                <c:pt idx="10">
                  <c:v>1.1682588671825058E-4</c:v>
                </c:pt>
                <c:pt idx="11">
                  <c:v>1.1082111627398018E-4</c:v>
                </c:pt>
              </c:numCache>
            </c:numRef>
          </c:val>
          <c:smooth val="0"/>
        </c:ser>
        <c:ser>
          <c:idx val="2"/>
          <c:order val="3"/>
          <c:tx>
            <c:v>Chargebacks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'FY2012'!$D$191:$D$202</c:f>
              <c:numCache>
                <c:formatCode>0.000%</c:formatCode>
                <c:ptCount val="12"/>
                <c:pt idx="0">
                  <c:v>1.2299111042949598E-4</c:v>
                </c:pt>
                <c:pt idx="1">
                  <c:v>1.124799688992886E-4</c:v>
                </c:pt>
                <c:pt idx="2">
                  <c:v>1.0035105976800997E-4</c:v>
                </c:pt>
                <c:pt idx="3">
                  <c:v>9.4190644560566099E-5</c:v>
                </c:pt>
                <c:pt idx="4">
                  <c:v>1.1136247834505249E-4</c:v>
                </c:pt>
                <c:pt idx="5">
                  <c:v>1.0418383443599463E-4</c:v>
                </c:pt>
                <c:pt idx="6">
                  <c:v>9.0401985420540391E-5</c:v>
                </c:pt>
                <c:pt idx="7">
                  <c:v>1.0284910383535328E-4</c:v>
                </c:pt>
                <c:pt idx="8">
                  <c:v>9.6117283320869005E-5</c:v>
                </c:pt>
                <c:pt idx="9">
                  <c:v>9.8105899249097166E-5</c:v>
                </c:pt>
                <c:pt idx="10">
                  <c:v>1.181089282466441E-4</c:v>
                </c:pt>
                <c:pt idx="11">
                  <c:v>1.2147606992415002E-4</c:v>
                </c:pt>
              </c:numCache>
            </c:numRef>
          </c:val>
          <c:smooth val="0"/>
        </c:ser>
        <c:ser>
          <c:idx val="1"/>
          <c:order val="4"/>
          <c:tx>
            <c:v>Chargebacks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'FY2011'!$D$192:$D$203</c:f>
              <c:numCache>
                <c:formatCode>0.000%</c:formatCode>
                <c:ptCount val="12"/>
                <c:pt idx="0">
                  <c:v>1.6668182511647556E-4</c:v>
                </c:pt>
                <c:pt idx="1">
                  <c:v>1.3219643123358457E-4</c:v>
                </c:pt>
                <c:pt idx="2">
                  <c:v>1.2416271732553868E-4</c:v>
                </c:pt>
                <c:pt idx="3">
                  <c:v>1.1326532420463537E-4</c:v>
                </c:pt>
                <c:pt idx="4">
                  <c:v>1.0444869855289592E-4</c:v>
                </c:pt>
                <c:pt idx="5">
                  <c:v>1.3526780912647524E-4</c:v>
                </c:pt>
                <c:pt idx="6">
                  <c:v>1.2337250423960215E-4</c:v>
                </c:pt>
                <c:pt idx="7">
                  <c:v>1.0634645098525457E-4</c:v>
                </c:pt>
                <c:pt idx="8">
                  <c:v>1.1341538476629074E-4</c:v>
                </c:pt>
                <c:pt idx="9">
                  <c:v>9.8881225391062833E-5</c:v>
                </c:pt>
                <c:pt idx="10">
                  <c:v>1.2891403245224322E-4</c:v>
                </c:pt>
                <c:pt idx="11">
                  <c:v>1.0362123951339337E-4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92960"/>
        <c:axId val="107995136"/>
      </c:lineChart>
      <c:dateAx>
        <c:axId val="107992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951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7995136"/>
        <c:scaling>
          <c:orientation val="minMax"/>
          <c:max val="1.8000000000000297E-4"/>
          <c:min val="6.0000000000001106E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92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76901351124706E-2"/>
          <c:y val="0.86223130499694056"/>
          <c:w val="0.91610019105028273"/>
          <c:h val="0.13776876900288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landscape" horizontalDpi="-3" verticalDpi="12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 Cost Per Transaction
FY2015 Trend</a:t>
            </a:r>
          </a:p>
        </c:rich>
      </c:tx>
      <c:layout>
        <c:manualLayout>
          <c:xMode val="edge"/>
          <c:yMode val="edge"/>
          <c:x val="0.31325301204819223"/>
          <c:y val="3.6630074525356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460536442200781"/>
          <c:w val="0.80971659919028338"/>
          <c:h val="0.3931534354749168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'FY2015'!$B$111:$B$122</c:f>
              <c:numCache>
                <c:formatCode>"$"#,##0.00</c:formatCode>
                <c:ptCount val="12"/>
                <c:pt idx="0">
                  <c:v>1.7425857944483383</c:v>
                </c:pt>
                <c:pt idx="1">
                  <c:v>1.6972236002124377</c:v>
                </c:pt>
                <c:pt idx="2">
                  <c:v>1.7380502347681444</c:v>
                </c:pt>
                <c:pt idx="3">
                  <c:v>1.6316404017294175</c:v>
                </c:pt>
                <c:pt idx="4">
                  <c:v>1.5827885185284665</c:v>
                </c:pt>
                <c:pt idx="5">
                  <c:v>1.5746962885200244</c:v>
                </c:pt>
                <c:pt idx="6">
                  <c:v>1.6569268908644719</c:v>
                </c:pt>
                <c:pt idx="7">
                  <c:v>1.6811977086097731</c:v>
                </c:pt>
                <c:pt idx="8">
                  <c:v>1.6541467078716525</c:v>
                </c:pt>
                <c:pt idx="9">
                  <c:v>1.6343373678807964</c:v>
                </c:pt>
                <c:pt idx="10">
                  <c:v>1.6988858992968612</c:v>
                </c:pt>
                <c:pt idx="11">
                  <c:v>1.7126530249656031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'FY2014'!$B$111:$B$122</c:f>
              <c:numCache>
                <c:formatCode>"$"#,##0.00</c:formatCode>
                <c:ptCount val="12"/>
                <c:pt idx="0">
                  <c:v>1.8246882156482722</c:v>
                </c:pt>
                <c:pt idx="1">
                  <c:v>1.781277932788107</c:v>
                </c:pt>
                <c:pt idx="2">
                  <c:v>1.8042151417354886</c:v>
                </c:pt>
                <c:pt idx="3">
                  <c:v>1.6672149302927084</c:v>
                </c:pt>
                <c:pt idx="4">
                  <c:v>1.6311081526877691</c:v>
                </c:pt>
                <c:pt idx="5">
                  <c:v>1.5954719165948072</c:v>
                </c:pt>
                <c:pt idx="6">
                  <c:v>1.6537493752989405</c:v>
                </c:pt>
                <c:pt idx="7">
                  <c:v>1.703822263895953</c:v>
                </c:pt>
                <c:pt idx="8">
                  <c:v>1.6974769310269802</c:v>
                </c:pt>
                <c:pt idx="9">
                  <c:v>1.6312560476663103</c:v>
                </c:pt>
                <c:pt idx="10">
                  <c:v>1.8566014682638179</c:v>
                </c:pt>
                <c:pt idx="11">
                  <c:v>1.6819325850253344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'FY2013'!$B$111:$B$122</c:f>
              <c:numCache>
                <c:formatCode>"$"#,##0.00</c:formatCode>
                <c:ptCount val="12"/>
                <c:pt idx="0">
                  <c:v>1.7159501721368904</c:v>
                </c:pt>
                <c:pt idx="1">
                  <c:v>1.8778543648611281</c:v>
                </c:pt>
                <c:pt idx="2">
                  <c:v>1.9204200089145527</c:v>
                </c:pt>
                <c:pt idx="3">
                  <c:v>1.8671037735953127</c:v>
                </c:pt>
                <c:pt idx="4">
                  <c:v>1.7733051655840182</c:v>
                </c:pt>
                <c:pt idx="5">
                  <c:v>1.7696216851515925</c:v>
                </c:pt>
                <c:pt idx="6">
                  <c:v>1.8451038878691006</c:v>
                </c:pt>
                <c:pt idx="7">
                  <c:v>1.8436431003739613</c:v>
                </c:pt>
                <c:pt idx="8">
                  <c:v>1.822458092223022</c:v>
                </c:pt>
                <c:pt idx="9">
                  <c:v>1.8609606337600413</c:v>
                </c:pt>
                <c:pt idx="10">
                  <c:v>1.8116856830922654</c:v>
                </c:pt>
                <c:pt idx="11">
                  <c:v>1.914673422569906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'FY2012'!$B$119:$B$130</c:f>
              <c:numCache>
                <c:formatCode>"$"#,##0.00</c:formatCode>
                <c:ptCount val="12"/>
                <c:pt idx="0">
                  <c:v>1.7303298030823877</c:v>
                </c:pt>
                <c:pt idx="1">
                  <c:v>1.8073209239807644</c:v>
                </c:pt>
                <c:pt idx="2">
                  <c:v>1.8300065768800617</c:v>
                </c:pt>
                <c:pt idx="3">
                  <c:v>1.6932617377718975</c:v>
                </c:pt>
                <c:pt idx="4">
                  <c:v>1.654120176908183</c:v>
                </c:pt>
                <c:pt idx="5">
                  <c:v>1.6592068196265866</c:v>
                </c:pt>
                <c:pt idx="6">
                  <c:v>1.6764331686596075</c:v>
                </c:pt>
                <c:pt idx="7">
                  <c:v>1.7323417243415151</c:v>
                </c:pt>
                <c:pt idx="8">
                  <c:v>1.7837040059828793</c:v>
                </c:pt>
                <c:pt idx="9">
                  <c:v>1.7426475354927007</c:v>
                </c:pt>
                <c:pt idx="10">
                  <c:v>1.8272657571950719</c:v>
                </c:pt>
                <c:pt idx="11">
                  <c:v>1.8570606135614309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'FY2011'!$B$120:$B$131</c:f>
              <c:numCache>
                <c:formatCode>"$"#,##0.00</c:formatCode>
                <c:ptCount val="12"/>
                <c:pt idx="0">
                  <c:v>2.0912740047499661</c:v>
                </c:pt>
                <c:pt idx="1">
                  <c:v>1.883362553413402</c:v>
                </c:pt>
                <c:pt idx="2">
                  <c:v>2.0423524865351421</c:v>
                </c:pt>
                <c:pt idx="3">
                  <c:v>1.8067210364580983</c:v>
                </c:pt>
                <c:pt idx="4">
                  <c:v>1.7727786871705264</c:v>
                </c:pt>
                <c:pt idx="5">
                  <c:v>1.8015620410346795</c:v>
                </c:pt>
                <c:pt idx="6">
                  <c:v>1.9172412339342038</c:v>
                </c:pt>
                <c:pt idx="7">
                  <c:v>1.9014877820803844</c:v>
                </c:pt>
                <c:pt idx="8">
                  <c:v>1.9587075535259311</c:v>
                </c:pt>
                <c:pt idx="9">
                  <c:v>1.8897320698542543</c:v>
                </c:pt>
                <c:pt idx="10">
                  <c:v>1.838689668765515</c:v>
                </c:pt>
                <c:pt idx="11">
                  <c:v>1.9225883068434728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35072"/>
        <c:axId val="108040960"/>
      </c:lineChart>
      <c:dateAx>
        <c:axId val="108035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40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040960"/>
        <c:scaling>
          <c:orientation val="minMax"/>
          <c:max val="2.5"/>
          <c:min val="1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35072"/>
        <c:crosses val="autoZero"/>
        <c:crossBetween val="between"/>
        <c:majorUnit val="0.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716766933166113E-2"/>
          <c:y val="0.85271413302478793"/>
          <c:w val="0.90890703325192546"/>
          <c:h val="0.14728586697522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FY2015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51"/>
          <c:w val="0.81174089068826882"/>
          <c:h val="0.4002372811591495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'FY2015'!$B$128:$B$139</c:f>
              <c:numCache>
                <c:formatCode>"$"#,##0.000</c:formatCode>
                <c:ptCount val="12"/>
                <c:pt idx="0">
                  <c:v>0.13085534270361138</c:v>
                </c:pt>
                <c:pt idx="1">
                  <c:v>0.13013736383992461</c:v>
                </c:pt>
                <c:pt idx="2">
                  <c:v>0.13439394430272564</c:v>
                </c:pt>
                <c:pt idx="3">
                  <c:v>0.13582039487258429</c:v>
                </c:pt>
                <c:pt idx="4">
                  <c:v>0.14034028990178438</c:v>
                </c:pt>
                <c:pt idx="5">
                  <c:v>0.1347362594712784</c:v>
                </c:pt>
                <c:pt idx="6">
                  <c:v>0.13675718690834354</c:v>
                </c:pt>
                <c:pt idx="7">
                  <c:v>0.13907901006997439</c:v>
                </c:pt>
                <c:pt idx="8">
                  <c:v>0.13997963029198587</c:v>
                </c:pt>
                <c:pt idx="9">
                  <c:v>0.13515106038801633</c:v>
                </c:pt>
                <c:pt idx="10">
                  <c:v>0.14257378638559648</c:v>
                </c:pt>
                <c:pt idx="11">
                  <c:v>0.14271846753477493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'FY2014'!$B$128:$B$139</c:f>
              <c:numCache>
                <c:formatCode>"$"#,##0.000</c:formatCode>
                <c:ptCount val="12"/>
                <c:pt idx="0">
                  <c:v>0.13603465799063749</c:v>
                </c:pt>
                <c:pt idx="1">
                  <c:v>0.13556923905977514</c:v>
                </c:pt>
                <c:pt idx="2">
                  <c:v>0.13755745572130895</c:v>
                </c:pt>
                <c:pt idx="3">
                  <c:v>0.13015898535930095</c:v>
                </c:pt>
                <c:pt idx="4">
                  <c:v>0.13012209533520996</c:v>
                </c:pt>
                <c:pt idx="5">
                  <c:v>0.12754126216117204</c:v>
                </c:pt>
                <c:pt idx="6">
                  <c:v>0.12958293445581451</c:v>
                </c:pt>
                <c:pt idx="7">
                  <c:v>0.13546776382930897</c:v>
                </c:pt>
                <c:pt idx="8">
                  <c:v>0.13117786662315056</c:v>
                </c:pt>
                <c:pt idx="9">
                  <c:v>0.12930807013800655</c:v>
                </c:pt>
                <c:pt idx="10">
                  <c:v>0.13166474402010042</c:v>
                </c:pt>
                <c:pt idx="11">
                  <c:v>0.1355854363512207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'FY2013'!$B$128:$B$139</c:f>
              <c:numCache>
                <c:formatCode>"$"#,##0.000</c:formatCode>
                <c:ptCount val="12"/>
                <c:pt idx="0">
                  <c:v>0.1324117323875196</c:v>
                </c:pt>
                <c:pt idx="1">
                  <c:v>0.13314241338693128</c:v>
                </c:pt>
                <c:pt idx="2">
                  <c:v>0.13592377648785006</c:v>
                </c:pt>
                <c:pt idx="3">
                  <c:v>0.13027852228258635</c:v>
                </c:pt>
                <c:pt idx="4">
                  <c:v>0.12791124555353051</c:v>
                </c:pt>
                <c:pt idx="5">
                  <c:v>0.12607106784581182</c:v>
                </c:pt>
                <c:pt idx="6">
                  <c:v>0.1262287138574075</c:v>
                </c:pt>
                <c:pt idx="7">
                  <c:v>0.12503046611448751</c:v>
                </c:pt>
                <c:pt idx="8">
                  <c:v>0.13011263873130652</c:v>
                </c:pt>
                <c:pt idx="9">
                  <c:v>0.13239724744507911</c:v>
                </c:pt>
                <c:pt idx="10">
                  <c:v>0.13241759657467059</c:v>
                </c:pt>
                <c:pt idx="11">
                  <c:v>0.13551222682401085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'FY2012'!$B$136:$B$147</c:f>
              <c:numCache>
                <c:formatCode>"$"#,##0.000</c:formatCode>
                <c:ptCount val="12"/>
                <c:pt idx="0">
                  <c:v>0.10991224909688312</c:v>
                </c:pt>
                <c:pt idx="1">
                  <c:v>0.11399001248176155</c:v>
                </c:pt>
                <c:pt idx="2">
                  <c:v>0.11529737532985765</c:v>
                </c:pt>
                <c:pt idx="3">
                  <c:v>0.11032645399014486</c:v>
                </c:pt>
                <c:pt idx="4">
                  <c:v>0.11007253724650976</c:v>
                </c:pt>
                <c:pt idx="5">
                  <c:v>0.10861759088126574</c:v>
                </c:pt>
                <c:pt idx="6">
                  <c:v>0.11793840684005384</c:v>
                </c:pt>
                <c:pt idx="7">
                  <c:v>0.11965308347405625</c:v>
                </c:pt>
                <c:pt idx="8">
                  <c:v>0.12375135639192583</c:v>
                </c:pt>
                <c:pt idx="9">
                  <c:v>0.12186296533720084</c:v>
                </c:pt>
                <c:pt idx="10">
                  <c:v>0.12537020321492784</c:v>
                </c:pt>
                <c:pt idx="11">
                  <c:v>0.13383184114968738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'FY2011'!$B$137:$B$148</c:f>
              <c:numCache>
                <c:formatCode>"$"#,##0.000</c:formatCode>
                <c:ptCount val="12"/>
                <c:pt idx="0">
                  <c:v>0.119296303807607</c:v>
                </c:pt>
                <c:pt idx="1">
                  <c:v>0.11249727117018403</c:v>
                </c:pt>
                <c:pt idx="2">
                  <c:v>0.11966140192577281</c:v>
                </c:pt>
                <c:pt idx="3">
                  <c:v>0.10696679298186129</c:v>
                </c:pt>
                <c:pt idx="4">
                  <c:v>0.11025515221312465</c:v>
                </c:pt>
                <c:pt idx="5">
                  <c:v>0.10995166211103263</c:v>
                </c:pt>
                <c:pt idx="6">
                  <c:v>0.11333602846424273</c:v>
                </c:pt>
                <c:pt idx="7">
                  <c:v>0.11410374581131692</c:v>
                </c:pt>
                <c:pt idx="8">
                  <c:v>0.1151766444617735</c:v>
                </c:pt>
                <c:pt idx="9">
                  <c:v>0.11247205692520577</c:v>
                </c:pt>
                <c:pt idx="10">
                  <c:v>0.11099978691895464</c:v>
                </c:pt>
                <c:pt idx="11">
                  <c:v>0.11301192564256064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67744"/>
        <c:axId val="107169280"/>
      </c:lineChart>
      <c:dateAx>
        <c:axId val="1071677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692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7169280"/>
        <c:scaling>
          <c:orientation val="minMax"/>
          <c:max val="0.15000000000000013"/>
          <c:min val="9.0000000000000024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67744"/>
        <c:crosses val="autoZero"/>
        <c:crossBetween val="between"/>
        <c:majorUnit val="1.0000000000000005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602919489411858E-2"/>
          <c:y val="0.84756456692913351"/>
          <c:w val="0.91941232666188011"/>
          <c:h val="0.152435433070866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New Set-Ups
FY2017 Trend</a:t>
            </a:r>
          </a:p>
        </c:rich>
      </c:tx>
      <c:layout>
        <c:manualLayout>
          <c:xMode val="edge"/>
          <c:yMode val="edge"/>
          <c:x val="0.36952086193320893"/>
          <c:y val="3.85964084750375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39071414610363E-2"/>
          <c:y val="0.18640530421719456"/>
          <c:w val="0.88571232295841651"/>
          <c:h val="0.56391262012710952"/>
        </c:manualLayout>
      </c:layout>
      <c:lineChart>
        <c:grouping val="standard"/>
        <c:varyColors val="0"/>
        <c:ser>
          <c:idx val="8"/>
          <c:order val="0"/>
          <c:tx>
            <c:v>New Account Setup 2015</c:v>
          </c:tx>
          <c:spPr>
            <a:ln>
              <a:solidFill>
                <a:srgbClr val="00B0F0"/>
              </a:solidFill>
            </a:ln>
          </c:spPr>
          <c:marker>
            <c:symbol val="star"/>
            <c:size val="7"/>
            <c:spPr>
              <a:ln>
                <a:solidFill>
                  <a:srgbClr val="00B0F0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'FY2015'!$B$147:$B$158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12</c:v>
                </c:pt>
                <c:pt idx="8">
                  <c:v>18</c:v>
                </c:pt>
                <c:pt idx="9">
                  <c:v>2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ser>
          <c:idx val="0"/>
          <c:order val="1"/>
          <c:tx>
            <c:v>New Account Setup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'FY2014'!$B$147:$B$158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  <c:pt idx="4">
                  <c:v>15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  <c:pt idx="9">
                  <c:v>2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ser>
          <c:idx val="6"/>
          <c:order val="2"/>
          <c:tx>
            <c:v>New Account Setup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'FY2013'!$B$147:$B$158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29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  <c:smooth val="0"/>
        </c:ser>
        <c:ser>
          <c:idx val="4"/>
          <c:order val="3"/>
          <c:tx>
            <c:v>New Account Setup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'FY2012'!$B$155:$B$166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  <c:smooth val="0"/>
        </c:ser>
        <c:ser>
          <c:idx val="2"/>
          <c:order val="4"/>
          <c:tx>
            <c:v>New Account Setup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'FY2011'!$B$156:$B$167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9"/>
          <c:order val="5"/>
          <c:tx>
            <c:v>New Location Only Setup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'FY2015'!$C$147:$C$158</c:f>
              <c:numCache>
                <c:formatCode>General</c:formatCode>
                <c:ptCount val="12"/>
                <c:pt idx="0">
                  <c:v>17</c:v>
                </c:pt>
                <c:pt idx="1">
                  <c:v>54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New Location Only Setup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'FY2014'!$C$147:$C$158</c:f>
              <c:numCache>
                <c:formatCode>General</c:formatCode>
                <c:ptCount val="12"/>
                <c:pt idx="0">
                  <c:v>20</c:v>
                </c:pt>
                <c:pt idx="1">
                  <c:v>11</c:v>
                </c:pt>
                <c:pt idx="2">
                  <c:v>20</c:v>
                </c:pt>
                <c:pt idx="3">
                  <c:v>18</c:v>
                </c:pt>
                <c:pt idx="4">
                  <c:v>36</c:v>
                </c:pt>
                <c:pt idx="5">
                  <c:v>19</c:v>
                </c:pt>
                <c:pt idx="6">
                  <c:v>34</c:v>
                </c:pt>
                <c:pt idx="7">
                  <c:v>18</c:v>
                </c:pt>
                <c:pt idx="8">
                  <c:v>1235</c:v>
                </c:pt>
                <c:pt idx="9">
                  <c:v>15</c:v>
                </c:pt>
                <c:pt idx="10">
                  <c:v>27</c:v>
                </c:pt>
                <c:pt idx="11">
                  <c:v>17</c:v>
                </c:pt>
              </c:numCache>
            </c:numRef>
          </c:val>
          <c:smooth val="0"/>
        </c:ser>
        <c:ser>
          <c:idx val="7"/>
          <c:order val="7"/>
          <c:tx>
            <c:v>New Location Only Setup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'FY2013'!$C$147:$C$158</c:f>
              <c:numCache>
                <c:formatCode>General</c:formatCode>
                <c:ptCount val="12"/>
                <c:pt idx="0">
                  <c:v>87</c:v>
                </c:pt>
                <c:pt idx="1">
                  <c:v>10</c:v>
                </c:pt>
                <c:pt idx="2">
                  <c:v>79</c:v>
                </c:pt>
                <c:pt idx="3">
                  <c:v>161</c:v>
                </c:pt>
                <c:pt idx="4">
                  <c:v>10</c:v>
                </c:pt>
                <c:pt idx="5">
                  <c:v>3</c:v>
                </c:pt>
                <c:pt idx="6">
                  <c:v>28</c:v>
                </c:pt>
                <c:pt idx="7">
                  <c:v>28</c:v>
                </c:pt>
                <c:pt idx="8">
                  <c:v>1</c:v>
                </c:pt>
                <c:pt idx="9">
                  <c:v>212</c:v>
                </c:pt>
                <c:pt idx="10">
                  <c:v>23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8"/>
          <c:tx>
            <c:v>New Location Only Setup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'FY2012'!$C$155:$C$166</c:f>
              <c:numCache>
                <c:formatCode>General</c:formatCode>
                <c:ptCount val="12"/>
                <c:pt idx="0">
                  <c:v>14</c:v>
                </c:pt>
                <c:pt idx="1">
                  <c:v>9</c:v>
                </c:pt>
                <c:pt idx="2">
                  <c:v>9</c:v>
                </c:pt>
                <c:pt idx="3">
                  <c:v>59</c:v>
                </c:pt>
                <c:pt idx="4">
                  <c:v>108</c:v>
                </c:pt>
                <c:pt idx="5">
                  <c:v>62</c:v>
                </c:pt>
                <c:pt idx="6">
                  <c:v>31</c:v>
                </c:pt>
                <c:pt idx="7">
                  <c:v>23</c:v>
                </c:pt>
                <c:pt idx="8">
                  <c:v>41</c:v>
                </c:pt>
                <c:pt idx="9">
                  <c:v>36</c:v>
                </c:pt>
                <c:pt idx="10">
                  <c:v>28</c:v>
                </c:pt>
                <c:pt idx="11">
                  <c:v>18</c:v>
                </c:pt>
              </c:numCache>
            </c:numRef>
          </c:val>
          <c:smooth val="0"/>
        </c:ser>
        <c:ser>
          <c:idx val="3"/>
          <c:order val="9"/>
          <c:tx>
            <c:v>New Location Only Setup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'FY2011'!$C$156:$C$167</c:f>
              <c:numCache>
                <c:formatCode>General</c:formatCode>
                <c:ptCount val="12"/>
                <c:pt idx="0">
                  <c:v>45</c:v>
                </c:pt>
                <c:pt idx="1">
                  <c:v>46</c:v>
                </c:pt>
                <c:pt idx="2">
                  <c:v>14</c:v>
                </c:pt>
                <c:pt idx="3">
                  <c:v>22</c:v>
                </c:pt>
                <c:pt idx="4">
                  <c:v>24</c:v>
                </c:pt>
                <c:pt idx="5">
                  <c:v>57</c:v>
                </c:pt>
                <c:pt idx="6">
                  <c:v>13</c:v>
                </c:pt>
                <c:pt idx="7">
                  <c:v>54</c:v>
                </c:pt>
                <c:pt idx="8">
                  <c:v>60</c:v>
                </c:pt>
                <c:pt idx="9">
                  <c:v>10</c:v>
                </c:pt>
                <c:pt idx="10">
                  <c:v>15</c:v>
                </c:pt>
                <c:pt idx="11">
                  <c:v>14</c:v>
                </c:pt>
              </c:numCache>
            </c:numRef>
          </c:val>
          <c:smooth val="0"/>
        </c:ser>
        <c:ser>
          <c:idx val="10"/>
          <c:order val="10"/>
          <c:tx>
            <c:v>New Account Setup 2016</c:v>
          </c:tx>
          <c:val>
            <c:numRef>
              <c:f>'FY2016'!$B$170:$B$181</c:f>
              <c:numCache>
                <c:formatCode>General</c:formatCode>
                <c:ptCount val="12"/>
                <c:pt idx="0">
                  <c:v>8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13</c:v>
                </c:pt>
                <c:pt idx="8">
                  <c:v>7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  <c:smooth val="0"/>
        </c:ser>
        <c:ser>
          <c:idx val="11"/>
          <c:order val="11"/>
          <c:tx>
            <c:v>New Location Only Setup 2016</c:v>
          </c:tx>
          <c:val>
            <c:numRef>
              <c:f>'FY2016'!$C$170:$C$181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v>New Account Setup 2017</c:v>
          </c:tx>
          <c:val>
            <c:numRef>
              <c:f>'FY2017'!$B$170:$B$181</c:f>
              <c:numCache>
                <c:formatCode>General</c:formatCode>
                <c:ptCount val="12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12</c:v>
                </c:pt>
                <c:pt idx="9">
                  <c:v>8</c:v>
                </c:pt>
              </c:numCache>
            </c:numRef>
          </c:val>
          <c:smooth val="0"/>
        </c:ser>
        <c:ser>
          <c:idx val="13"/>
          <c:order val="13"/>
          <c:tx>
            <c:v>New Location Only Setup 2017</c:v>
          </c:tx>
          <c:val>
            <c:numRef>
              <c:f>'FY2017'!$C$170:$C$181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10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77920"/>
        <c:axId val="79379456"/>
      </c:lineChart>
      <c:dateAx>
        <c:axId val="793779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79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9379456"/>
        <c:scaling>
          <c:orientation val="minMax"/>
          <c:max val="1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77920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04435933596571E-2"/>
          <c:y val="0.83308719231905271"/>
          <c:w val="0.95365472844970778"/>
          <c:h val="0.166912741855223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 horizontalDpi="-3" verticalDpi="120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Sales Dollars
FY2015 Trend</a:t>
            </a:r>
          </a:p>
        </c:rich>
      </c:tx>
      <c:layout>
        <c:manualLayout>
          <c:xMode val="edge"/>
          <c:yMode val="edge"/>
          <c:x val="0.3140000000000038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0000000000041"/>
          <c:y val="0.32089610704311122"/>
          <c:w val="0.72200000000000064"/>
          <c:h val="0.37313500818966294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'FY2015'!$C$9:$C$20</c:f>
              <c:numCache>
                <c:formatCode>_("$"* #,##0_);_("$"* \(#,##0\);_("$"* "-"??_);_(@_)</c:formatCode>
                <c:ptCount val="12"/>
                <c:pt idx="0">
                  <c:v>233811372</c:v>
                </c:pt>
                <c:pt idx="1">
                  <c:v>241843205.16999984</c:v>
                </c:pt>
                <c:pt idx="2">
                  <c:v>204156942.19</c:v>
                </c:pt>
                <c:pt idx="3">
                  <c:v>232141323.19000006</c:v>
                </c:pt>
                <c:pt idx="4">
                  <c:v>217065440.56</c:v>
                </c:pt>
                <c:pt idx="5">
                  <c:v>224415244.11000001</c:v>
                </c:pt>
                <c:pt idx="6">
                  <c:v>219083105.56</c:v>
                </c:pt>
                <c:pt idx="7">
                  <c:v>235653980.90000015</c:v>
                </c:pt>
                <c:pt idx="8">
                  <c:v>206057009.16</c:v>
                </c:pt>
                <c:pt idx="9">
                  <c:v>217376835.73999998</c:v>
                </c:pt>
                <c:pt idx="10">
                  <c:v>227996759.49000019</c:v>
                </c:pt>
                <c:pt idx="11">
                  <c:v>214316897.97000006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'FY2014'!$C$9:$C$20</c:f>
              <c:numCache>
                <c:formatCode>_("$"* #,##0_);_("$"* \(#,##0\);_("$"* "-"??_);_(@_)</c:formatCode>
                <c:ptCount val="12"/>
                <c:pt idx="0">
                  <c:v>196737992</c:v>
                </c:pt>
                <c:pt idx="1">
                  <c:v>243093144</c:v>
                </c:pt>
                <c:pt idx="2">
                  <c:v>222038681</c:v>
                </c:pt>
                <c:pt idx="3">
                  <c:v>224415244</c:v>
                </c:pt>
                <c:pt idx="4">
                  <c:v>218904018</c:v>
                </c:pt>
                <c:pt idx="5">
                  <c:v>237950792</c:v>
                </c:pt>
                <c:pt idx="6">
                  <c:v>220244625</c:v>
                </c:pt>
                <c:pt idx="7">
                  <c:v>233744781</c:v>
                </c:pt>
                <c:pt idx="8">
                  <c:v>217864234</c:v>
                </c:pt>
                <c:pt idx="9">
                  <c:v>216560864</c:v>
                </c:pt>
                <c:pt idx="10">
                  <c:v>245337299</c:v>
                </c:pt>
                <c:pt idx="11">
                  <c:v>214966735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'FY2013'!$C$9:$C$20</c:f>
              <c:numCache>
                <c:formatCode>_("$"* #,##0_);_("$"* \(#,##0\);_("$"* "-"??_);_(@_)</c:formatCode>
                <c:ptCount val="12"/>
                <c:pt idx="0">
                  <c:v>220970227</c:v>
                </c:pt>
                <c:pt idx="1">
                  <c:v>232085939.86000001</c:v>
                </c:pt>
                <c:pt idx="2">
                  <c:v>242619302.84999999</c:v>
                </c:pt>
                <c:pt idx="3">
                  <c:v>218486100</c:v>
                </c:pt>
                <c:pt idx="4">
                  <c:v>224050133.69999999</c:v>
                </c:pt>
                <c:pt idx="5">
                  <c:v>251065328</c:v>
                </c:pt>
                <c:pt idx="6">
                  <c:v>217338571</c:v>
                </c:pt>
                <c:pt idx="7">
                  <c:v>233336216</c:v>
                </c:pt>
                <c:pt idx="8">
                  <c:v>227933502</c:v>
                </c:pt>
                <c:pt idx="9">
                  <c:v>204194734.19</c:v>
                </c:pt>
                <c:pt idx="10">
                  <c:v>234661180</c:v>
                </c:pt>
                <c:pt idx="11">
                  <c:v>221974564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'FY2012'!$C$17:$C$28</c:f>
              <c:numCache>
                <c:formatCode>_("$"* #,##0_);_("$"* \(#,##0\);_("$"* "-"??_);_(@_)</c:formatCode>
                <c:ptCount val="12"/>
                <c:pt idx="0">
                  <c:v>211424832</c:v>
                </c:pt>
                <c:pt idx="1">
                  <c:v>207728753.31</c:v>
                </c:pt>
                <c:pt idx="2">
                  <c:v>221708758</c:v>
                </c:pt>
                <c:pt idx="3">
                  <c:v>205884255</c:v>
                </c:pt>
                <c:pt idx="4">
                  <c:v>211128500</c:v>
                </c:pt>
                <c:pt idx="5">
                  <c:v>220068302.31999999</c:v>
                </c:pt>
                <c:pt idx="6">
                  <c:v>211036392.41</c:v>
                </c:pt>
                <c:pt idx="7">
                  <c:v>218710035</c:v>
                </c:pt>
                <c:pt idx="8">
                  <c:v>220505653</c:v>
                </c:pt>
                <c:pt idx="9">
                  <c:v>211730585</c:v>
                </c:pt>
                <c:pt idx="10">
                  <c:v>224658336.80000001</c:v>
                </c:pt>
                <c:pt idx="11">
                  <c:v>230461236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'FY2011'!$C$18:$C$29</c:f>
              <c:numCache>
                <c:formatCode>_("$"* #,##0_);_("$"* \(#,##0\);_("$"* "-"??_);_(@_)</c:formatCode>
                <c:ptCount val="12"/>
                <c:pt idx="0">
                  <c:v>204861464.94999999</c:v>
                </c:pt>
                <c:pt idx="1">
                  <c:v>194394741.47999999</c:v>
                </c:pt>
                <c:pt idx="2">
                  <c:v>205489113</c:v>
                </c:pt>
                <c:pt idx="3">
                  <c:v>198520610</c:v>
                </c:pt>
                <c:pt idx="4">
                  <c:v>185496077</c:v>
                </c:pt>
                <c:pt idx="5">
                  <c:v>201254413</c:v>
                </c:pt>
                <c:pt idx="6">
                  <c:v>203187477</c:v>
                </c:pt>
                <c:pt idx="7">
                  <c:v>203260624</c:v>
                </c:pt>
                <c:pt idx="8">
                  <c:v>191492037</c:v>
                </c:pt>
                <c:pt idx="9">
                  <c:v>201987028</c:v>
                </c:pt>
                <c:pt idx="10">
                  <c:v>197799494</c:v>
                </c:pt>
                <c:pt idx="11">
                  <c:v>205150436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25856"/>
        <c:axId val="107227392"/>
      </c:lineChart>
      <c:dateAx>
        <c:axId val="1072258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273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7227392"/>
        <c:scaling>
          <c:orientation val="minMax"/>
          <c:min val="18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3395355378309409E-2"/>
              <c:y val="0.488806921948454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25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999616035557431E-2"/>
          <c:y val="0.83492045473570053"/>
          <c:w val="0.95388983466012001"/>
          <c:h val="0.165079545264299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Number of Transactions
FY2015</a:t>
            </a:r>
            <a:r>
              <a:rPr lang="en-US" baseline="0"/>
              <a:t> </a:t>
            </a:r>
            <a:r>
              <a:rPr lang="en-US"/>
              <a:t>Trend</a:t>
            </a:r>
          </a:p>
        </c:rich>
      </c:tx>
      <c:layout>
        <c:manualLayout>
          <c:xMode val="edge"/>
          <c:yMode val="edge"/>
          <c:x val="0.31388329979879853"/>
          <c:y val="3.7453183520599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75"/>
          <c:w val="0.74446680080482897"/>
          <c:h val="0.37078787302447785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'FY2015'!$C$25:$C$36</c:f>
              <c:numCache>
                <c:formatCode>[Black]#,##0;[Black]\-#,##0</c:formatCode>
                <c:ptCount val="12"/>
                <c:pt idx="0">
                  <c:v>3312611</c:v>
                </c:pt>
                <c:pt idx="1">
                  <c:v>3282201</c:v>
                </c:pt>
                <c:pt idx="2">
                  <c:v>2735486</c:v>
                </c:pt>
                <c:pt idx="3">
                  <c:v>3208287</c:v>
                </c:pt>
                <c:pt idx="4">
                  <c:v>3034091</c:v>
                </c:pt>
                <c:pt idx="5">
                  <c:v>3104244</c:v>
                </c:pt>
                <c:pt idx="6">
                  <c:v>3185402</c:v>
                </c:pt>
                <c:pt idx="7">
                  <c:v>3364797</c:v>
                </c:pt>
                <c:pt idx="8">
                  <c:v>3038079</c:v>
                </c:pt>
                <c:pt idx="9">
                  <c:v>3156518</c:v>
                </c:pt>
                <c:pt idx="10">
                  <c:v>3277573</c:v>
                </c:pt>
                <c:pt idx="11">
                  <c:v>3119420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'FY2014'!$C$25:$C$36</c:f>
              <c:numCache>
                <c:formatCode>[Black]#,##0;[Black]\-#,##0</c:formatCode>
                <c:ptCount val="12"/>
                <c:pt idx="0">
                  <c:v>2747440</c:v>
                </c:pt>
                <c:pt idx="1">
                  <c:v>3258616</c:v>
                </c:pt>
                <c:pt idx="2">
                  <c:v>2999811</c:v>
                </c:pt>
                <c:pt idx="3">
                  <c:v>3104244</c:v>
                </c:pt>
                <c:pt idx="4">
                  <c:v>2976107</c:v>
                </c:pt>
                <c:pt idx="5">
                  <c:v>3303871</c:v>
                </c:pt>
                <c:pt idx="6">
                  <c:v>3152248</c:v>
                </c:pt>
                <c:pt idx="7">
                  <c:v>3322288</c:v>
                </c:pt>
                <c:pt idx="8">
                  <c:v>3126117</c:v>
                </c:pt>
                <c:pt idx="9">
                  <c:v>3109711</c:v>
                </c:pt>
                <c:pt idx="10">
                  <c:v>3361642</c:v>
                </c:pt>
                <c:pt idx="11">
                  <c:v>3090778</c:v>
                </c:pt>
              </c:numCache>
            </c:numRef>
          </c:val>
          <c:smooth val="0"/>
        </c:ser>
        <c:ser>
          <c:idx val="3"/>
          <c:order val="2"/>
          <c:tx>
            <c:v>PIN Debit 2013</c:v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'FY2013'!$C$25:$C$36</c:f>
              <c:numCache>
                <c:formatCode>[Black]#,##0;[Black]\-#,##0</c:formatCode>
                <c:ptCount val="12"/>
                <c:pt idx="0">
                  <c:v>3089139</c:v>
                </c:pt>
                <c:pt idx="1">
                  <c:v>3129893</c:v>
                </c:pt>
                <c:pt idx="2">
                  <c:v>3140413</c:v>
                </c:pt>
                <c:pt idx="3">
                  <c:v>3072954</c:v>
                </c:pt>
                <c:pt idx="4">
                  <c:v>3030850</c:v>
                </c:pt>
                <c:pt idx="5">
                  <c:v>3418073</c:v>
                </c:pt>
                <c:pt idx="6">
                  <c:v>3106396</c:v>
                </c:pt>
                <c:pt idx="7">
                  <c:v>3326812</c:v>
                </c:pt>
                <c:pt idx="8">
                  <c:v>3177057</c:v>
                </c:pt>
                <c:pt idx="9">
                  <c:v>2796040</c:v>
                </c:pt>
                <c:pt idx="10">
                  <c:v>3148673</c:v>
                </c:pt>
                <c:pt idx="11">
                  <c:v>3089060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'FY2012'!$C$33:$C$44</c:f>
              <c:numCache>
                <c:formatCode>[Black]#,##0;[Black]\-#,##0</c:formatCode>
                <c:ptCount val="12"/>
                <c:pt idx="0">
                  <c:v>2837421</c:v>
                </c:pt>
                <c:pt idx="1">
                  <c:v>2768231</c:v>
                </c:pt>
                <c:pt idx="2">
                  <c:v>2856005</c:v>
                </c:pt>
                <c:pt idx="3">
                  <c:v>2773958</c:v>
                </c:pt>
                <c:pt idx="4">
                  <c:v>2807394</c:v>
                </c:pt>
                <c:pt idx="5">
                  <c:v>2996465</c:v>
                </c:pt>
                <c:pt idx="6">
                  <c:v>2890871</c:v>
                </c:pt>
                <c:pt idx="7">
                  <c:v>3045930</c:v>
                </c:pt>
                <c:pt idx="8">
                  <c:v>3017903</c:v>
                </c:pt>
                <c:pt idx="9">
                  <c:v>2930068</c:v>
                </c:pt>
                <c:pt idx="10">
                  <c:v>3129911</c:v>
                </c:pt>
                <c:pt idx="11">
                  <c:v>3117200</c:v>
                </c:pt>
              </c:numCache>
            </c:numRef>
          </c:val>
          <c:smooth val="0"/>
        </c:ser>
        <c:ser>
          <c:idx val="2"/>
          <c:order val="4"/>
          <c:tx>
            <c:v>PIN Debit 2011</c:v>
          </c:tx>
          <c:spPr>
            <a:ln>
              <a:solidFill>
                <a:srgbClr val="7030A0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7030A0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'FY2011'!$C$34:$C$45</c:f>
              <c:numCache>
                <c:formatCode>[Black]#,##0;[Black]\-#,##0</c:formatCode>
                <c:ptCount val="12"/>
                <c:pt idx="0">
                  <c:v>2742674</c:v>
                </c:pt>
                <c:pt idx="1">
                  <c:v>2602330</c:v>
                </c:pt>
                <c:pt idx="2">
                  <c:v>2670307</c:v>
                </c:pt>
                <c:pt idx="3">
                  <c:v>2644287</c:v>
                </c:pt>
                <c:pt idx="4">
                  <c:v>2478299</c:v>
                </c:pt>
                <c:pt idx="5">
                  <c:v>2753231</c:v>
                </c:pt>
                <c:pt idx="6">
                  <c:v>2734993</c:v>
                </c:pt>
                <c:pt idx="7">
                  <c:v>2750883</c:v>
                </c:pt>
                <c:pt idx="8">
                  <c:v>2637336</c:v>
                </c:pt>
                <c:pt idx="9">
                  <c:v>2694067</c:v>
                </c:pt>
                <c:pt idx="10">
                  <c:v>2701393</c:v>
                </c:pt>
                <c:pt idx="11">
                  <c:v>2747644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83968"/>
        <c:axId val="107285888"/>
      </c:lineChart>
      <c:dateAx>
        <c:axId val="1072839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858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7285888"/>
        <c:scaling>
          <c:orientation val="minMax"/>
          <c:max val="3500000"/>
          <c:min val="22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1.3545020159193387E-2"/>
              <c:y val="0.3632970597776403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#,##0;[Black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83968"/>
        <c:crosses val="autoZero"/>
        <c:crossBetween val="between"/>
        <c:majorUnit val="250000"/>
        <c:min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655506906334746E-2"/>
          <c:y val="0.84517651997278742"/>
          <c:w val="0.94375437636575421"/>
          <c:h val="0.15482348002721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
FY2015 Trend</a:t>
            </a:r>
          </a:p>
        </c:rich>
      </c:tx>
      <c:layout>
        <c:manualLayout>
          <c:xMode val="edge"/>
          <c:yMode val="edge"/>
          <c:x val="0.31400000000000383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0000000000012"/>
          <c:y val="0.31970260223049024"/>
          <c:w val="0.81200000000000061"/>
          <c:h val="0.37546468401488498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'FY2015'!$C$59:$C$70</c:f>
              <c:numCache>
                <c:formatCode>"$"#,##0</c:formatCode>
                <c:ptCount val="12"/>
                <c:pt idx="0">
                  <c:v>869212.66999999993</c:v>
                </c:pt>
                <c:pt idx="1">
                  <c:v>838557.96</c:v>
                </c:pt>
                <c:pt idx="2">
                  <c:v>733536.09000000008</c:v>
                </c:pt>
                <c:pt idx="3">
                  <c:v>842567.47000000009</c:v>
                </c:pt>
                <c:pt idx="4">
                  <c:v>776887.67999999982</c:v>
                </c:pt>
                <c:pt idx="5">
                  <c:v>828591.3600000001</c:v>
                </c:pt>
                <c:pt idx="6">
                  <c:v>836564.06</c:v>
                </c:pt>
                <c:pt idx="7">
                  <c:v>884549.76</c:v>
                </c:pt>
                <c:pt idx="8">
                  <c:v>791251.08999999985</c:v>
                </c:pt>
                <c:pt idx="9">
                  <c:v>834128.65999999992</c:v>
                </c:pt>
                <c:pt idx="10">
                  <c:v>837930.91000000015</c:v>
                </c:pt>
                <c:pt idx="11">
                  <c:v>829863.26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'FY2014'!$C$59:$C$70</c:f>
              <c:numCache>
                <c:formatCode>"$"#,##0</c:formatCode>
                <c:ptCount val="12"/>
                <c:pt idx="0">
                  <c:v>722953.34</c:v>
                </c:pt>
                <c:pt idx="1">
                  <c:v>817497.05999999994</c:v>
                </c:pt>
                <c:pt idx="2">
                  <c:v>797029.60999999987</c:v>
                </c:pt>
                <c:pt idx="3">
                  <c:v>805116.75000000012</c:v>
                </c:pt>
                <c:pt idx="4">
                  <c:v>758894.21</c:v>
                </c:pt>
                <c:pt idx="5">
                  <c:v>836154.77000000014</c:v>
                </c:pt>
                <c:pt idx="6">
                  <c:v>824336.32999999984</c:v>
                </c:pt>
                <c:pt idx="7">
                  <c:v>869203.09000000008</c:v>
                </c:pt>
                <c:pt idx="8">
                  <c:v>784302.5900000002</c:v>
                </c:pt>
                <c:pt idx="9">
                  <c:v>809686.24000000022</c:v>
                </c:pt>
                <c:pt idx="10">
                  <c:v>811586.24000000022</c:v>
                </c:pt>
                <c:pt idx="11">
                  <c:v>784412.19000000018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'FY2013'!$C$59:$C$70</c:f>
              <c:numCache>
                <c:formatCode>"$"#,##0</c:formatCode>
                <c:ptCount val="12"/>
                <c:pt idx="0">
                  <c:v>787061.98999999987</c:v>
                </c:pt>
                <c:pt idx="1">
                  <c:v>813583.88000000012</c:v>
                </c:pt>
                <c:pt idx="2">
                  <c:v>802315.87</c:v>
                </c:pt>
                <c:pt idx="3">
                  <c:v>782689.96999999986</c:v>
                </c:pt>
                <c:pt idx="4">
                  <c:v>776752.9</c:v>
                </c:pt>
                <c:pt idx="5">
                  <c:v>869636.29999999993</c:v>
                </c:pt>
                <c:pt idx="6">
                  <c:v>803401.98</c:v>
                </c:pt>
                <c:pt idx="7">
                  <c:v>869059.80999999994</c:v>
                </c:pt>
                <c:pt idx="8">
                  <c:v>806126.21</c:v>
                </c:pt>
                <c:pt idx="9">
                  <c:v>721802.36</c:v>
                </c:pt>
                <c:pt idx="10">
                  <c:v>816320.39000000025</c:v>
                </c:pt>
                <c:pt idx="11">
                  <c:v>777974.19000000018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'FY2012'!$C$67:$C$78</c:f>
              <c:numCache>
                <c:formatCode>"$"#,##0</c:formatCode>
                <c:ptCount val="12"/>
                <c:pt idx="0">
                  <c:v>706513.09999999986</c:v>
                </c:pt>
                <c:pt idx="1">
                  <c:v>719959.22999999986</c:v>
                </c:pt>
                <c:pt idx="2">
                  <c:v>749991.60000000009</c:v>
                </c:pt>
                <c:pt idx="3">
                  <c:v>702725.10000000009</c:v>
                </c:pt>
                <c:pt idx="4">
                  <c:v>722662.79000000027</c:v>
                </c:pt>
                <c:pt idx="5">
                  <c:v>784746.1</c:v>
                </c:pt>
                <c:pt idx="6">
                  <c:v>722652.05999999994</c:v>
                </c:pt>
                <c:pt idx="7">
                  <c:v>786373.25999999989</c:v>
                </c:pt>
                <c:pt idx="8">
                  <c:v>782377.27999999991</c:v>
                </c:pt>
                <c:pt idx="9">
                  <c:v>740166.21000000031</c:v>
                </c:pt>
                <c:pt idx="10">
                  <c:v>818195.74000000022</c:v>
                </c:pt>
                <c:pt idx="11">
                  <c:v>788317.35000000009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'FY2011'!$C$68:$C$79</c:f>
              <c:numCache>
                <c:formatCode>"$"#,##0</c:formatCode>
                <c:ptCount val="12"/>
                <c:pt idx="0">
                  <c:v>869767.96</c:v>
                </c:pt>
                <c:pt idx="1">
                  <c:v>816758.36</c:v>
                </c:pt>
                <c:pt idx="2">
                  <c:v>859992.62</c:v>
                </c:pt>
                <c:pt idx="3">
                  <c:v>816883.41</c:v>
                </c:pt>
                <c:pt idx="4">
                  <c:v>831121</c:v>
                </c:pt>
                <c:pt idx="5">
                  <c:v>946350.06</c:v>
                </c:pt>
                <c:pt idx="6">
                  <c:v>926955</c:v>
                </c:pt>
                <c:pt idx="7">
                  <c:v>884044</c:v>
                </c:pt>
                <c:pt idx="8">
                  <c:v>881759</c:v>
                </c:pt>
                <c:pt idx="9">
                  <c:v>897184</c:v>
                </c:pt>
                <c:pt idx="10">
                  <c:v>898622</c:v>
                </c:pt>
                <c:pt idx="11">
                  <c:v>931889.7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26464"/>
        <c:axId val="107328256"/>
      </c:lineChart>
      <c:dateAx>
        <c:axId val="1073264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282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7328256"/>
        <c:scaling>
          <c:orientation val="minMax"/>
          <c:max val="1000000"/>
          <c:min val="6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26464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9219560242467119E-2"/>
          <c:y val="0.8435577840441828"/>
          <c:w val="0.94992562911548462"/>
          <c:h val="0.1564422159558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Network Fees
FY2015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3036437247195"/>
          <c:y val="0.30106344157989562"/>
          <c:w val="0.8137651821862345"/>
          <c:h val="0.40023728115914958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'FY2015'!$C$76:$C$87</c:f>
              <c:numCache>
                <c:formatCode>"$"#,##0</c:formatCode>
                <c:ptCount val="12"/>
                <c:pt idx="0">
                  <c:v>101643.51000000013</c:v>
                </c:pt>
                <c:pt idx="1">
                  <c:v>97297.95000000007</c:v>
                </c:pt>
                <c:pt idx="2">
                  <c:v>81687.759999999966</c:v>
                </c:pt>
                <c:pt idx="3">
                  <c:v>95481.449999999924</c:v>
                </c:pt>
                <c:pt idx="4">
                  <c:v>78345.440000000206</c:v>
                </c:pt>
                <c:pt idx="5">
                  <c:v>89051.029999999912</c:v>
                </c:pt>
                <c:pt idx="6">
                  <c:v>88478.729999999967</c:v>
                </c:pt>
                <c:pt idx="7">
                  <c:v>91860.04999999993</c:v>
                </c:pt>
                <c:pt idx="8">
                  <c:v>85621.380000000179</c:v>
                </c:pt>
                <c:pt idx="9">
                  <c:v>92173.940000000061</c:v>
                </c:pt>
                <c:pt idx="10">
                  <c:v>86233.729999999865</c:v>
                </c:pt>
                <c:pt idx="11">
                  <c:v>90527.200000000026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22225">
              <a:solidFill>
                <a:srgbClr val="FF33CC"/>
              </a:solidFill>
            </a:ln>
          </c:spPr>
          <c:marker>
            <c:spPr>
              <a:ln>
                <a:solidFill>
                  <a:srgbClr val="FF33CC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'FY2014'!$C$76:$C$87</c:f>
              <c:numCache>
                <c:formatCode>"$"#,##0</c:formatCode>
                <c:ptCount val="12"/>
                <c:pt idx="0">
                  <c:v>83648.260000000009</c:v>
                </c:pt>
                <c:pt idx="1">
                  <c:v>126958.59000000008</c:v>
                </c:pt>
                <c:pt idx="2">
                  <c:v>94101.420000000158</c:v>
                </c:pt>
                <c:pt idx="3">
                  <c:v>95203.909999999916</c:v>
                </c:pt>
                <c:pt idx="4">
                  <c:v>100924.81000000006</c:v>
                </c:pt>
                <c:pt idx="5">
                  <c:v>99437.919999999809</c:v>
                </c:pt>
                <c:pt idx="6">
                  <c:v>99964.14000000013</c:v>
                </c:pt>
                <c:pt idx="7">
                  <c:v>103713.11999999988</c:v>
                </c:pt>
                <c:pt idx="8">
                  <c:v>95993.869999999763</c:v>
                </c:pt>
                <c:pt idx="9">
                  <c:v>99056.359999999753</c:v>
                </c:pt>
                <c:pt idx="10">
                  <c:v>97156.359999999753</c:v>
                </c:pt>
                <c:pt idx="11">
                  <c:v>96389.009999999776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'FY2013'!$C$76:$C$87</c:f>
              <c:numCache>
                <c:formatCode>"$"#,##0</c:formatCode>
                <c:ptCount val="12"/>
                <c:pt idx="0">
                  <c:v>107887.13000000012</c:v>
                </c:pt>
                <c:pt idx="1">
                  <c:v>109647.12999999989</c:v>
                </c:pt>
                <c:pt idx="2">
                  <c:v>108453.56000000006</c:v>
                </c:pt>
                <c:pt idx="3">
                  <c:v>106211.25000000012</c:v>
                </c:pt>
                <c:pt idx="4">
                  <c:v>106347.09999999998</c:v>
                </c:pt>
                <c:pt idx="5">
                  <c:v>117957.71000000008</c:v>
                </c:pt>
                <c:pt idx="6">
                  <c:v>102334.17000000004</c:v>
                </c:pt>
                <c:pt idx="7">
                  <c:v>110128.24000000011</c:v>
                </c:pt>
                <c:pt idx="8">
                  <c:v>97525.160000000033</c:v>
                </c:pt>
                <c:pt idx="9">
                  <c:v>87198.680000000051</c:v>
                </c:pt>
                <c:pt idx="10">
                  <c:v>114822.63999999978</c:v>
                </c:pt>
                <c:pt idx="11">
                  <c:v>89845.10999999987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'FY2012'!$C$84:$C$95</c:f>
              <c:numCache>
                <c:formatCode>"$"#,##0</c:formatCode>
                <c:ptCount val="12"/>
                <c:pt idx="0">
                  <c:v>99860.660000000149</c:v>
                </c:pt>
                <c:pt idx="1">
                  <c:v>101172.3600000001</c:v>
                </c:pt>
                <c:pt idx="2">
                  <c:v>104629.99999999988</c:v>
                </c:pt>
                <c:pt idx="3">
                  <c:v>100285.11999999988</c:v>
                </c:pt>
                <c:pt idx="4">
                  <c:v>100876.40999999968</c:v>
                </c:pt>
                <c:pt idx="5">
                  <c:v>109579.30000000005</c:v>
                </c:pt>
                <c:pt idx="6">
                  <c:v>103051.09000000008</c:v>
                </c:pt>
                <c:pt idx="7">
                  <c:v>108115.3600000001</c:v>
                </c:pt>
                <c:pt idx="8">
                  <c:v>105811.02000000014</c:v>
                </c:pt>
                <c:pt idx="9">
                  <c:v>99893.659999999683</c:v>
                </c:pt>
                <c:pt idx="10">
                  <c:v>110094.7899999998</c:v>
                </c:pt>
                <c:pt idx="11">
                  <c:v>104855.79999999993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'FY2011'!$C$85:$C$96</c:f>
              <c:numCache>
                <c:formatCode>"$"#,##0</c:formatCode>
                <c:ptCount val="12"/>
                <c:pt idx="4">
                  <c:v>93289.59</c:v>
                </c:pt>
                <c:pt idx="5">
                  <c:v>105591.58999999997</c:v>
                </c:pt>
                <c:pt idx="6">
                  <c:v>100923.86999999997</c:v>
                </c:pt>
                <c:pt idx="7">
                  <c:v>96328.930000000022</c:v>
                </c:pt>
                <c:pt idx="8">
                  <c:v>96117.430000000022</c:v>
                </c:pt>
                <c:pt idx="9">
                  <c:v>97518.270000000077</c:v>
                </c:pt>
                <c:pt idx="10">
                  <c:v>97906.25000000016</c:v>
                </c:pt>
                <c:pt idx="11">
                  <c:v>108733.17999999982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78464"/>
        <c:axId val="108480000"/>
      </c:lineChart>
      <c:dateAx>
        <c:axId val="1084784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800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480000"/>
        <c:scaling>
          <c:orientation val="minMax"/>
          <c:min val="6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78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082886669289502E-2"/>
          <c:y val="0.84349251968503935"/>
          <c:w val="0.94789278030431012"/>
          <c:h val="0.15650748031496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Signature</a:t>
            </a:r>
            <a:r>
              <a:rPr lang="en-US" baseline="0"/>
              <a:t> Debit Transactions</a:t>
            </a:r>
            <a:r>
              <a:rPr lang="en-US"/>
              <a:t>
FY2015 Trend</a:t>
            </a:r>
          </a:p>
        </c:rich>
      </c:tx>
      <c:layout>
        <c:manualLayout>
          <c:xMode val="edge"/>
          <c:yMode val="edge"/>
          <c:x val="0.2969618686619378"/>
          <c:y val="3.6977952755906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4"/>
          <c:order val="0"/>
          <c:tx>
            <c:v>Sig Debit Tran Count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'FY2015'!$B$93:$B$104</c:f>
              <c:numCache>
                <c:formatCode>#,##0</c:formatCode>
                <c:ptCount val="12"/>
                <c:pt idx="0">
                  <c:v>2714220</c:v>
                </c:pt>
                <c:pt idx="1">
                  <c:v>2455499</c:v>
                </c:pt>
                <c:pt idx="2">
                  <c:v>2702857</c:v>
                </c:pt>
                <c:pt idx="3">
                  <c:v>2653191</c:v>
                </c:pt>
                <c:pt idx="4">
                  <c:v>2555977</c:v>
                </c:pt>
                <c:pt idx="5">
                  <c:v>2896287</c:v>
                </c:pt>
                <c:pt idx="6">
                  <c:v>2849861</c:v>
                </c:pt>
                <c:pt idx="7">
                  <c:v>2857190</c:v>
                </c:pt>
                <c:pt idx="8">
                  <c:v>2832924</c:v>
                </c:pt>
                <c:pt idx="9">
                  <c:v>2951886</c:v>
                </c:pt>
                <c:pt idx="10">
                  <c:v>2846005</c:v>
                </c:pt>
                <c:pt idx="11">
                  <c:v>2716603</c:v>
                </c:pt>
              </c:numCache>
            </c:numRef>
          </c:val>
          <c:smooth val="0"/>
        </c:ser>
        <c:ser>
          <c:idx val="0"/>
          <c:order val="1"/>
          <c:tx>
            <c:v>Sig Debit Tran Count 2014</c:v>
          </c:tx>
          <c:spPr>
            <a:ln w="12700"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'FY2014'!$B$93:$B$104</c:f>
              <c:numCache>
                <c:formatCode>#,##0</c:formatCode>
                <c:ptCount val="12"/>
                <c:pt idx="0">
                  <c:v>2238270</c:v>
                </c:pt>
                <c:pt idx="1">
                  <c:v>2357475</c:v>
                </c:pt>
                <c:pt idx="2">
                  <c:v>2259951</c:v>
                </c:pt>
                <c:pt idx="3">
                  <c:v>2350622</c:v>
                </c:pt>
                <c:pt idx="4">
                  <c:v>2344240</c:v>
                </c:pt>
                <c:pt idx="5">
                  <c:v>2683176</c:v>
                </c:pt>
                <c:pt idx="6">
                  <c:v>2622812</c:v>
                </c:pt>
                <c:pt idx="7">
                  <c:v>2730720</c:v>
                </c:pt>
                <c:pt idx="8">
                  <c:v>2609899</c:v>
                </c:pt>
                <c:pt idx="9">
                  <c:v>2790258</c:v>
                </c:pt>
                <c:pt idx="10">
                  <c:v>2791990</c:v>
                </c:pt>
                <c:pt idx="11">
                  <c:v>2511687</c:v>
                </c:pt>
              </c:numCache>
            </c:numRef>
          </c:val>
          <c:smooth val="0"/>
        </c:ser>
        <c:ser>
          <c:idx val="3"/>
          <c:order val="2"/>
          <c:tx>
            <c:v>Sig Debit Tran Count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'FY2013'!$B$93:$B$104</c:f>
              <c:numCache>
                <c:formatCode>#,##0</c:formatCode>
                <c:ptCount val="12"/>
                <c:pt idx="0">
                  <c:v>2331184</c:v>
                </c:pt>
                <c:pt idx="1">
                  <c:v>2180620</c:v>
                </c:pt>
                <c:pt idx="2">
                  <c:v>2229765</c:v>
                </c:pt>
                <c:pt idx="3">
                  <c:v>2324659</c:v>
                </c:pt>
                <c:pt idx="4">
                  <c:v>2273355</c:v>
                </c:pt>
                <c:pt idx="5">
                  <c:v>2648387</c:v>
                </c:pt>
                <c:pt idx="6">
                  <c:v>2450890</c:v>
                </c:pt>
                <c:pt idx="7">
                  <c:v>2652022</c:v>
                </c:pt>
                <c:pt idx="8">
                  <c:v>2607548</c:v>
                </c:pt>
                <c:pt idx="9">
                  <c:v>2510877</c:v>
                </c:pt>
                <c:pt idx="10">
                  <c:v>2601363</c:v>
                </c:pt>
                <c:pt idx="11">
                  <c:v>2340406</c:v>
                </c:pt>
              </c:numCache>
            </c:numRef>
          </c:val>
          <c:smooth val="0"/>
        </c:ser>
        <c:ser>
          <c:idx val="2"/>
          <c:order val="3"/>
          <c:tx>
            <c:v>Sig Debit Tran Count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'FY2012'!$B$101:$B$112</c:f>
              <c:numCache>
                <c:formatCode>#,##0</c:formatCode>
                <c:ptCount val="12"/>
                <c:pt idx="0">
                  <c:v>2335314</c:v>
                </c:pt>
                <c:pt idx="1">
                  <c:v>2226585</c:v>
                </c:pt>
                <c:pt idx="2">
                  <c:v>2361670</c:v>
                </c:pt>
                <c:pt idx="3">
                  <c:v>2286304</c:v>
                </c:pt>
                <c:pt idx="4">
                  <c:v>2422856</c:v>
                </c:pt>
                <c:pt idx="5">
                  <c:v>2660111</c:v>
                </c:pt>
                <c:pt idx="6">
                  <c:v>2407902</c:v>
                </c:pt>
                <c:pt idx="7">
                  <c:v>2559494</c:v>
                </c:pt>
                <c:pt idx="8">
                  <c:v>2566260</c:v>
                </c:pt>
                <c:pt idx="9">
                  <c:v>2417787</c:v>
                </c:pt>
                <c:pt idx="10">
                  <c:v>2589648</c:v>
                </c:pt>
                <c:pt idx="11">
                  <c:v>2359446</c:v>
                </c:pt>
              </c:numCache>
            </c:numRef>
          </c:val>
          <c:smooth val="0"/>
        </c:ser>
        <c:ser>
          <c:idx val="1"/>
          <c:order val="4"/>
          <c:tx>
            <c:v>Sig Debit Tran Count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'FY2011'!$B$102:$B$113</c:f>
              <c:numCache>
                <c:formatCode>#,##0</c:formatCode>
                <c:ptCount val="12"/>
                <c:pt idx="0">
                  <c:v>2074161</c:v>
                </c:pt>
                <c:pt idx="1">
                  <c:v>1974976</c:v>
                </c:pt>
                <c:pt idx="2">
                  <c:v>2125799</c:v>
                </c:pt>
                <c:pt idx="3">
                  <c:v>2058669</c:v>
                </c:pt>
                <c:pt idx="4">
                  <c:v>2084273</c:v>
                </c:pt>
                <c:pt idx="5">
                  <c:v>2399589</c:v>
                </c:pt>
                <c:pt idx="6">
                  <c:v>2321494</c:v>
                </c:pt>
                <c:pt idx="7">
                  <c:v>2320821</c:v>
                </c:pt>
                <c:pt idx="8">
                  <c:v>2387014</c:v>
                </c:pt>
                <c:pt idx="9">
                  <c:v>2494889</c:v>
                </c:pt>
                <c:pt idx="10">
                  <c:v>2422838</c:v>
                </c:pt>
                <c:pt idx="11">
                  <c:v>2321746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17408"/>
        <c:axId val="108419328"/>
      </c:lineChart>
      <c:dateAx>
        <c:axId val="1084174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193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419328"/>
        <c:scaling>
          <c:orientation val="minMax"/>
          <c:max val="3000000"/>
          <c:min val="17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17408"/>
        <c:crosses val="autoZero"/>
        <c:crossBetween val="between"/>
        <c:majorUnit val="25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393939393939391E-2"/>
          <c:y val="0.83665472440944877"/>
          <c:w val="0.95348508709138635"/>
          <c:h val="0.16334527559055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 Cost Per Transaction
FY2015 Trend</a:t>
            </a:r>
          </a:p>
        </c:rich>
      </c:tx>
      <c:layout>
        <c:manualLayout>
          <c:xMode val="edge"/>
          <c:yMode val="edge"/>
          <c:x val="0.31325301204819223"/>
          <c:y val="3.6630074525356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460536442200781"/>
          <c:w val="0.80971659919028338"/>
          <c:h val="0.39315343547491688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'FY2015'!$C$111:$C$122</c:f>
              <c:numCache>
                <c:formatCode>"$"#,##0.00</c:formatCode>
                <c:ptCount val="12"/>
                <c:pt idx="0">
                  <c:v>0.26239503219665694</c:v>
                </c:pt>
                <c:pt idx="1">
                  <c:v>0.25548647386311807</c:v>
                </c:pt>
                <c:pt idx="2">
                  <c:v>0.26815567325148076</c:v>
                </c:pt>
                <c:pt idx="3">
                  <c:v>0.26262222488200093</c:v>
                </c:pt>
                <c:pt idx="4">
                  <c:v>0.25605286064261085</c:v>
                </c:pt>
                <c:pt idx="5">
                  <c:v>0.26692211050420012</c:v>
                </c:pt>
                <c:pt idx="6">
                  <c:v>0.26262432810678216</c:v>
                </c:pt>
                <c:pt idx="7">
                  <c:v>0.26288354394039226</c:v>
                </c:pt>
                <c:pt idx="8">
                  <c:v>0.26044454077724766</c:v>
                </c:pt>
                <c:pt idx="9">
                  <c:v>0.26425594911861738</c:v>
                </c:pt>
                <c:pt idx="10">
                  <c:v>0.2556559106387562</c:v>
                </c:pt>
                <c:pt idx="11">
                  <c:v>0.26603126863327159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'FY2014'!$C$111:$C$122</c:f>
              <c:numCache>
                <c:formatCode>"$"#,##0.00</c:formatCode>
                <c:ptCount val="12"/>
                <c:pt idx="0">
                  <c:v>0.26313708033660427</c:v>
                </c:pt>
                <c:pt idx="1">
                  <c:v>0.25087247469477836</c:v>
                </c:pt>
                <c:pt idx="2">
                  <c:v>0.26569327534301324</c:v>
                </c:pt>
                <c:pt idx="3">
                  <c:v>0.25936000842717266</c:v>
                </c:pt>
                <c:pt idx="4">
                  <c:v>0.25499560667677607</c:v>
                </c:pt>
                <c:pt idx="5">
                  <c:v>0.25308335888416955</c:v>
                </c:pt>
                <c:pt idx="6">
                  <c:v>0.26150744801804932</c:v>
                </c:pt>
                <c:pt idx="7">
                  <c:v>0.26162785706717784</c:v>
                </c:pt>
                <c:pt idx="8">
                  <c:v>0.25088715169649767</c:v>
                </c:pt>
                <c:pt idx="9">
                  <c:v>0.26037346878857881</c:v>
                </c:pt>
                <c:pt idx="10">
                  <c:v>0.24142554144670975</c:v>
                </c:pt>
                <c:pt idx="11">
                  <c:v>0.25379117814349661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'FY2013'!$C$111:$C$122</c:f>
              <c:numCache>
                <c:formatCode>"$"#,##0.00</c:formatCode>
                <c:ptCount val="12"/>
                <c:pt idx="0">
                  <c:v>0.25478361122629961</c:v>
                </c:pt>
                <c:pt idx="1">
                  <c:v>0.25993983819894168</c:v>
                </c:pt>
                <c:pt idx="2">
                  <c:v>0.25548100520536632</c:v>
                </c:pt>
                <c:pt idx="3">
                  <c:v>0.2547027941192741</c:v>
                </c:pt>
                <c:pt idx="4">
                  <c:v>0.25628219806324959</c:v>
                </c:pt>
                <c:pt idx="5">
                  <c:v>0.2544229745824621</c:v>
                </c:pt>
                <c:pt idx="6">
                  <c:v>0.25862832040731443</c:v>
                </c:pt>
                <c:pt idx="7">
                  <c:v>0.26122901143797722</c:v>
                </c:pt>
                <c:pt idx="8">
                  <c:v>0.2537336314708864</c:v>
                </c:pt>
                <c:pt idx="9">
                  <c:v>0.2581516573439579</c:v>
                </c:pt>
                <c:pt idx="10">
                  <c:v>0.25925854796607978</c:v>
                </c:pt>
                <c:pt idx="11">
                  <c:v>0.25184819653875296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'FY2012'!$C$119:$C$130</c:f>
              <c:numCache>
                <c:formatCode>"$"#,##0.00</c:formatCode>
                <c:ptCount val="12"/>
                <c:pt idx="0">
                  <c:v>0.24899833334566843</c:v>
                </c:pt>
                <c:pt idx="1">
                  <c:v>0.2600791733059849</c:v>
                </c:pt>
                <c:pt idx="2">
                  <c:v>0.26260164110356954</c:v>
                </c:pt>
                <c:pt idx="3">
                  <c:v>0.25332939431671281</c:v>
                </c:pt>
                <c:pt idx="4">
                  <c:v>0.25741409648948466</c:v>
                </c:pt>
                <c:pt idx="5">
                  <c:v>0.26189062778974559</c:v>
                </c:pt>
                <c:pt idx="6">
                  <c:v>0.24997727674462122</c:v>
                </c:pt>
                <c:pt idx="7">
                  <c:v>0.258171809595099</c:v>
                </c:pt>
                <c:pt idx="8">
                  <c:v>0.25924533691109353</c:v>
                </c:pt>
                <c:pt idx="9">
                  <c:v>0.25261059129003161</c:v>
                </c:pt>
                <c:pt idx="10">
                  <c:v>0.2614118228920887</c:v>
                </c:pt>
                <c:pt idx="11">
                  <c:v>0.25289277235981011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'FY2011'!$C$120:$C$131</c:f>
              <c:numCache>
                <c:formatCode>"$"#,##0.00</c:formatCode>
                <c:ptCount val="12"/>
                <c:pt idx="0">
                  <c:v>0.31712407672220611</c:v>
                </c:pt>
                <c:pt idx="1">
                  <c:v>0.31385656699957343</c:v>
                </c:pt>
                <c:pt idx="2">
                  <c:v>0.32205758364113191</c:v>
                </c:pt>
                <c:pt idx="3">
                  <c:v>0.30892388382955405</c:v>
                </c:pt>
                <c:pt idx="4">
                  <c:v>0.33535945420629232</c:v>
                </c:pt>
                <c:pt idx="5">
                  <c:v>0.34372345073842336</c:v>
                </c:pt>
                <c:pt idx="6">
                  <c:v>0.33892408499765814</c:v>
                </c:pt>
                <c:pt idx="7">
                  <c:v>0.32136735731763222</c:v>
                </c:pt>
                <c:pt idx="8">
                  <c:v>0.33433699763700947</c:v>
                </c:pt>
                <c:pt idx="9">
                  <c:v>0.33302215572218508</c:v>
                </c:pt>
                <c:pt idx="10">
                  <c:v>0.33265133951261444</c:v>
                </c:pt>
                <c:pt idx="11">
                  <c:v>0.33915954905366197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59520"/>
        <c:axId val="108461056"/>
      </c:lineChart>
      <c:dateAx>
        <c:axId val="1084595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610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461056"/>
        <c:scaling>
          <c:orientation val="minMax"/>
          <c:max val="0.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59520"/>
        <c:crosses val="autoZero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24448672197769E-2"/>
          <c:y val="0.85271413302478793"/>
          <c:w val="0.928842391204596"/>
          <c:h val="0.14728586697522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Ticket
FY2015 Trend</a:t>
            </a:r>
          </a:p>
        </c:rich>
      </c:tx>
      <c:layout>
        <c:manualLayout>
          <c:xMode val="edge"/>
          <c:yMode val="edge"/>
          <c:x val="0.30673997071109277"/>
          <c:y val="4.2416130986108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076923076924"/>
          <c:y val="0.30633802816901839"/>
          <c:w val="0.74291497975708498"/>
          <c:h val="0.38732394366197764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'FY2015'!$C$42:$C$53</c:f>
              <c:numCache>
                <c:formatCode>"$"#,##0.00</c:formatCode>
                <c:ptCount val="12"/>
                <c:pt idx="0">
                  <c:v>70.58219996250692</c:v>
                </c:pt>
                <c:pt idx="1">
                  <c:v>73.68324035304353</c:v>
                </c:pt>
                <c:pt idx="2">
                  <c:v>74.632786345826659</c:v>
                </c:pt>
                <c:pt idx="3">
                  <c:v>72.356782042878351</c:v>
                </c:pt>
                <c:pt idx="4">
                  <c:v>71.542165531620512</c:v>
                </c:pt>
                <c:pt idx="5">
                  <c:v>72.293042721512876</c:v>
                </c:pt>
                <c:pt idx="6">
                  <c:v>68.777223584338813</c:v>
                </c:pt>
                <c:pt idx="7">
                  <c:v>70.035125714864861</c:v>
                </c:pt>
                <c:pt idx="8">
                  <c:v>67.824769915463023</c:v>
                </c:pt>
                <c:pt idx="9">
                  <c:v>68.866021274074782</c:v>
                </c:pt>
                <c:pt idx="10">
                  <c:v>69.562679302642593</c:v>
                </c:pt>
                <c:pt idx="11">
                  <c:v>68.704085365228167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'FY2014'!$C$42:$C$53</c:f>
              <c:numCache>
                <c:formatCode>"$"#,##0.00</c:formatCode>
                <c:ptCount val="12"/>
                <c:pt idx="0">
                  <c:v>71.60774830387561</c:v>
                </c:pt>
                <c:pt idx="1">
                  <c:v>74.600119805463422</c:v>
                </c:pt>
                <c:pt idx="2">
                  <c:v>74.017556772743347</c:v>
                </c:pt>
                <c:pt idx="3">
                  <c:v>72.293042686077513</c:v>
                </c:pt>
                <c:pt idx="4">
                  <c:v>73.553813085349418</c:v>
                </c:pt>
                <c:pt idx="5">
                  <c:v>72.021816832436855</c:v>
                </c:pt>
                <c:pt idx="6">
                  <c:v>69.869066456700111</c:v>
                </c:pt>
                <c:pt idx="7">
                  <c:v>70.356567823138747</c:v>
                </c:pt>
                <c:pt idx="8">
                  <c:v>69.691644298661885</c:v>
                </c:pt>
                <c:pt idx="9">
                  <c:v>69.640189715378696</c:v>
                </c:pt>
                <c:pt idx="10">
                  <c:v>72.981387964572079</c:v>
                </c:pt>
                <c:pt idx="11">
                  <c:v>69.551011104647444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'FY2013'!$C$42:$C$53</c:f>
              <c:numCache>
                <c:formatCode>"$"#,##0.00</c:formatCode>
                <c:ptCount val="12"/>
                <c:pt idx="0">
                  <c:v>71.531331869495034</c:v>
                </c:pt>
                <c:pt idx="1">
                  <c:v>74.151397463108168</c:v>
                </c:pt>
                <c:pt idx="2">
                  <c:v>77.257132373990302</c:v>
                </c:pt>
                <c:pt idx="3">
                  <c:v>71.099697554860896</c:v>
                </c:pt>
                <c:pt idx="4">
                  <c:v>73.923200983222529</c:v>
                </c:pt>
                <c:pt idx="5">
                  <c:v>73.452301340550662</c:v>
                </c:pt>
                <c:pt idx="6">
                  <c:v>69.964863140436705</c:v>
                </c:pt>
                <c:pt idx="7">
                  <c:v>70.138082945474522</c:v>
                </c:pt>
                <c:pt idx="8">
                  <c:v>71.743598556777542</c:v>
                </c:pt>
                <c:pt idx="9">
                  <c:v>73.029976033962313</c:v>
                </c:pt>
                <c:pt idx="10">
                  <c:v>74.527008679529445</c:v>
                </c:pt>
                <c:pt idx="11">
                  <c:v>71.858288281872149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'FY2012'!$C$50:$C$61</c:f>
              <c:numCache>
                <c:formatCode>"$"#,##0.00</c:formatCode>
                <c:ptCount val="12"/>
                <c:pt idx="0">
                  <c:v>74.513028556565985</c:v>
                </c:pt>
                <c:pt idx="1">
                  <c:v>75.040252533115918</c:v>
                </c:pt>
                <c:pt idx="2">
                  <c:v>77.628981041699859</c:v>
                </c:pt>
                <c:pt idx="3">
                  <c:v>74.220393747850551</c:v>
                </c:pt>
                <c:pt idx="4">
                  <c:v>75.204442269236168</c:v>
                </c:pt>
                <c:pt idx="5">
                  <c:v>73.442640684940415</c:v>
                </c:pt>
                <c:pt idx="6">
                  <c:v>73.00097182129538</c:v>
                </c:pt>
                <c:pt idx="7">
                  <c:v>71.804025371561394</c:v>
                </c:pt>
                <c:pt idx="8">
                  <c:v>73.065851685756627</c:v>
                </c:pt>
                <c:pt idx="9">
                  <c:v>72.261321238961003</c:v>
                </c:pt>
                <c:pt idx="10">
                  <c:v>71.77786742178931</c:v>
                </c:pt>
                <c:pt idx="11">
                  <c:v>73.932130116771461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'FY2011'!$C$51:$C$62</c:f>
              <c:numCache>
                <c:formatCode>"$"#,##0.00</c:formatCode>
                <c:ptCount val="12"/>
                <c:pt idx="0">
                  <c:v>74.694063147862266</c:v>
                </c:pt>
                <c:pt idx="1">
                  <c:v>74.700265331452968</c:v>
                </c:pt>
                <c:pt idx="2">
                  <c:v>76.953366410678626</c:v>
                </c:pt>
                <c:pt idx="3">
                  <c:v>75.075288726223746</c:v>
                </c:pt>
                <c:pt idx="4">
                  <c:v>74.848142617174119</c:v>
                </c:pt>
                <c:pt idx="5">
                  <c:v>73.097539944886577</c:v>
                </c:pt>
                <c:pt idx="6">
                  <c:v>74.291772227570604</c:v>
                </c:pt>
                <c:pt idx="7">
                  <c:v>73.889229022099443</c:v>
                </c:pt>
                <c:pt idx="8">
                  <c:v>72.608130704620123</c:v>
                </c:pt>
                <c:pt idx="9">
                  <c:v>74.974760464383408</c:v>
                </c:pt>
                <c:pt idx="10">
                  <c:v>73.221295087386395</c:v>
                </c:pt>
                <c:pt idx="11">
                  <c:v>74.664125337925867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74976"/>
        <c:axId val="108580864"/>
      </c:lineChart>
      <c:dateAx>
        <c:axId val="1085749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80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580864"/>
        <c:scaling>
          <c:orientation val="minMax"/>
          <c:max val="80"/>
          <c:min val="6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69696969740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74976"/>
        <c:crosses val="autoZero"/>
        <c:crossBetween val="between"/>
        <c:majorUnit val="2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485865633401312E-2"/>
          <c:y val="0.84970125632559534"/>
          <c:w val="0.93734217555082477"/>
          <c:h val="0.15029874367441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FY2015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62"/>
          <c:w val="0.81174089068826905"/>
          <c:h val="0.40023728115914958"/>
        </c:manualLayout>
      </c:layout>
      <c:lineChart>
        <c:grouping val="standard"/>
        <c:varyColors val="0"/>
        <c:ser>
          <c:idx val="4"/>
          <c:order val="0"/>
          <c:tx>
            <c:v>PIN Debit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'FY2015'!$C$128:$C$139</c:f>
              <c:numCache>
                <c:formatCode>"$"#,##0.000</c:formatCode>
                <c:ptCount val="12"/>
                <c:pt idx="0">
                  <c:v>3.0683805010609494E-2</c:v>
                </c:pt>
                <c:pt idx="1">
                  <c:v>2.9644116859387976E-2</c:v>
                </c:pt>
                <c:pt idx="2">
                  <c:v>2.9862247512873384E-2</c:v>
                </c:pt>
                <c:pt idx="3">
                  <c:v>2.9760881741564868E-2</c:v>
                </c:pt>
                <c:pt idx="4">
                  <c:v>2.5821717278750111E-2</c:v>
                </c:pt>
                <c:pt idx="5">
                  <c:v>2.8686865465472403E-2</c:v>
                </c:pt>
                <c:pt idx="6">
                  <c:v>2.7776315202916294E-2</c:v>
                </c:pt>
                <c:pt idx="7">
                  <c:v>2.7300324506946461E-2</c:v>
                </c:pt>
                <c:pt idx="8">
                  <c:v>2.8182736525284621E-2</c:v>
                </c:pt>
                <c:pt idx="9">
                  <c:v>2.9201145059207664E-2</c:v>
                </c:pt>
                <c:pt idx="10">
                  <c:v>2.6310239314273051E-2</c:v>
                </c:pt>
                <c:pt idx="11">
                  <c:v>2.9020523045950857E-2</c:v>
                </c:pt>
              </c:numCache>
            </c:numRef>
          </c:val>
          <c:smooth val="0"/>
        </c:ser>
        <c:ser>
          <c:idx val="1"/>
          <c:order val="1"/>
          <c:tx>
            <c:v>PIN Debit 2014</c:v>
          </c:tx>
          <c:spPr>
            <a:ln w="12700"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'FY2014'!$C$128:$C$139</c:f>
              <c:numCache>
                <c:formatCode>"$"#,##0.000</c:formatCode>
                <c:ptCount val="12"/>
                <c:pt idx="0">
                  <c:v>3.0445891448038904E-2</c:v>
                </c:pt>
                <c:pt idx="1">
                  <c:v>3.8960893213560631E-2</c:v>
                </c:pt>
                <c:pt idx="2">
                  <c:v>3.1369116254324078E-2</c:v>
                </c:pt>
                <c:pt idx="3">
                  <c:v>3.0668951925170804E-2</c:v>
                </c:pt>
                <c:pt idx="4">
                  <c:v>3.391168731500583E-2</c:v>
                </c:pt>
                <c:pt idx="5">
                  <c:v>3.0097397870558446E-2</c:v>
                </c:pt>
                <c:pt idx="6">
                  <c:v>3.1712016313437306E-2</c:v>
                </c:pt>
                <c:pt idx="7">
                  <c:v>3.1217377903420739E-2</c:v>
                </c:pt>
                <c:pt idx="8">
                  <c:v>3.0707062467591507E-2</c:v>
                </c:pt>
                <c:pt idx="9">
                  <c:v>3.1853879669203909E-2</c:v>
                </c:pt>
                <c:pt idx="10">
                  <c:v>2.8901459465344542E-2</c:v>
                </c:pt>
                <c:pt idx="11">
                  <c:v>3.118600235927646E-2</c:v>
                </c:pt>
              </c:numCache>
            </c:numRef>
          </c:val>
          <c:smooth val="0"/>
        </c:ser>
        <c:ser>
          <c:idx val="2"/>
          <c:order val="2"/>
          <c:tx>
            <c:v>PIN Debit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'FY2013'!$C$128:$C$139</c:f>
              <c:numCache>
                <c:formatCode>"$"#,##0.000</c:formatCode>
                <c:ptCount val="12"/>
                <c:pt idx="0">
                  <c:v>3.4924660237043437E-2</c:v>
                </c:pt>
                <c:pt idx="1">
                  <c:v>3.503222953628124E-2</c:v>
                </c:pt>
                <c:pt idx="2">
                  <c:v>3.4534808001367989E-2</c:v>
                </c:pt>
                <c:pt idx="3">
                  <c:v>3.4563241102860673E-2</c:v>
                </c:pt>
                <c:pt idx="4">
                  <c:v>3.5088209578171131E-2</c:v>
                </c:pt>
                <c:pt idx="5">
                  <c:v>3.4510003150898208E-2</c:v>
                </c:pt>
                <c:pt idx="6">
                  <c:v>3.294305362226839E-2</c:v>
                </c:pt>
                <c:pt idx="7">
                  <c:v>3.3103235169285219E-2</c:v>
                </c:pt>
                <c:pt idx="8">
                  <c:v>3.0696698233616846E-2</c:v>
                </c:pt>
                <c:pt idx="9">
                  <c:v>3.1186492324859462E-2</c:v>
                </c:pt>
                <c:pt idx="10">
                  <c:v>3.646699419088606E-2</c:v>
                </c:pt>
                <c:pt idx="11">
                  <c:v>2.9084935223012785E-2</c:v>
                </c:pt>
              </c:numCache>
            </c:numRef>
          </c:val>
          <c:smooth val="0"/>
        </c:ser>
        <c:ser>
          <c:idx val="0"/>
          <c:order val="3"/>
          <c:tx>
            <c:v>PIN Debit 2012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'FY2012'!$C$136:$C$147</c:f>
              <c:numCache>
                <c:formatCode>"$"#,##0.000</c:formatCode>
                <c:ptCount val="12"/>
                <c:pt idx="0">
                  <c:v>3.5194163996107787E-2</c:v>
                </c:pt>
                <c:pt idx="1">
                  <c:v>3.6547658053103262E-2</c:v>
                </c:pt>
                <c:pt idx="2">
                  <c:v>3.6635089924562415E-2</c:v>
                </c:pt>
                <c:pt idx="3">
                  <c:v>3.6152357029197946E-2</c:v>
                </c:pt>
                <c:pt idx="4">
                  <c:v>3.5932402078226171E-2</c:v>
                </c:pt>
                <c:pt idx="5">
                  <c:v>3.6569524422945053E-2</c:v>
                </c:pt>
                <c:pt idx="6">
                  <c:v>3.5647073148542457E-2</c:v>
                </c:pt>
                <c:pt idx="7">
                  <c:v>3.5495024508114141E-2</c:v>
                </c:pt>
                <c:pt idx="8">
                  <c:v>3.5061107000456983E-2</c:v>
                </c:pt>
                <c:pt idx="9">
                  <c:v>3.4092608089641499E-2</c:v>
                </c:pt>
                <c:pt idx="10">
                  <c:v>3.5175054498354681E-2</c:v>
                </c:pt>
                <c:pt idx="11">
                  <c:v>3.3637815988707791E-2</c:v>
                </c:pt>
              </c:numCache>
            </c:numRef>
          </c:val>
          <c:smooth val="0"/>
        </c:ser>
        <c:ser>
          <c:idx val="3"/>
          <c:order val="4"/>
          <c:tx>
            <c:v>PIN Debit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'FY2011'!$C$137:$C$148</c:f>
              <c:numCache>
                <c:formatCode>"$"#,##0.00</c:formatCode>
                <c:ptCount val="12"/>
                <c:pt idx="4" formatCode="&quot;$&quot;#,##0.000">
                  <c:v>3.7642588727187475E-2</c:v>
                </c:pt>
                <c:pt idx="5" formatCode="&quot;$&quot;#,##0.000">
                  <c:v>3.8351881843550345E-2</c:v>
                </c:pt>
                <c:pt idx="6" formatCode="&quot;$&quot;#,##0.000">
                  <c:v>3.6900960989662487E-2</c:v>
                </c:pt>
                <c:pt idx="7" formatCode="&quot;$&quot;#,##0.000">
                  <c:v>3.5017458030748683E-2</c:v>
                </c:pt>
                <c:pt idx="8" formatCode="&quot;$&quot;#,##0.000">
                  <c:v>3.6444893635092387E-2</c:v>
                </c:pt>
                <c:pt idx="9" formatCode="&quot;$&quot;#,##0.000">
                  <c:v>3.6197418252775476E-2</c:v>
                </c:pt>
                <c:pt idx="10" formatCode="&quot;$&quot;#,##0.000">
                  <c:v>3.6242875435007108E-2</c:v>
                </c:pt>
                <c:pt idx="11" formatCode="&quot;$&quot;#,##0.000">
                  <c:v>3.9573241657216082E-2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19776"/>
        <c:axId val="108229760"/>
      </c:lineChart>
      <c:dateAx>
        <c:axId val="1082197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297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229760"/>
        <c:scaling>
          <c:orientation val="minMax"/>
          <c:max val="4.0000000000000022E-2"/>
          <c:min val="2.400000000000001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19776"/>
        <c:crosses val="autoZero"/>
        <c:crossBetween val="between"/>
        <c:majorUnit val="2.0000000000000052E-3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1674088649418281E-2"/>
          <c:y val="0.84756456692913351"/>
          <c:w val="0.93333166155068725"/>
          <c:h val="0.152435433070866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PCI Assist
FY2015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7"/>
          <c:y val="0.30526420389325265"/>
          <c:w val="0.81274979452289986"/>
          <c:h val="0.40701893852432336"/>
        </c:manualLayout>
      </c:layout>
      <c:lineChart>
        <c:grouping val="standard"/>
        <c:varyColors val="0"/>
        <c:ser>
          <c:idx val="3"/>
          <c:order val="0"/>
          <c:tx>
            <c:v>Compliant Agencies 2015</c:v>
          </c:tx>
          <c:spPr>
            <a:ln>
              <a:solidFill>
                <a:srgbClr val="00B0F0"/>
              </a:solidFill>
            </a:ln>
          </c:spPr>
          <c:marker>
            <c:symbol val="star"/>
            <c:size val="7"/>
            <c:spPr>
              <a:ln>
                <a:solidFill>
                  <a:srgbClr val="00B0F0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'FY2015'!$D$223:$D$234</c:f>
              <c:numCache>
                <c:formatCode>#,##0</c:formatCode>
                <c:ptCount val="12"/>
                <c:pt idx="0">
                  <c:v>280</c:v>
                </c:pt>
                <c:pt idx="1">
                  <c:v>274</c:v>
                </c:pt>
                <c:pt idx="2">
                  <c:v>272</c:v>
                </c:pt>
                <c:pt idx="3">
                  <c:v>258</c:v>
                </c:pt>
                <c:pt idx="4">
                  <c:v>255</c:v>
                </c:pt>
                <c:pt idx="5">
                  <c:v>260</c:v>
                </c:pt>
                <c:pt idx="6">
                  <c:v>257</c:v>
                </c:pt>
                <c:pt idx="7">
                  <c:v>251</c:v>
                </c:pt>
                <c:pt idx="8">
                  <c:v>252</c:v>
                </c:pt>
                <c:pt idx="9">
                  <c:v>254</c:v>
                </c:pt>
                <c:pt idx="10">
                  <c:v>249</c:v>
                </c:pt>
                <c:pt idx="11">
                  <c:v>245</c:v>
                </c:pt>
              </c:numCache>
            </c:numRef>
          </c:val>
          <c:smooth val="0"/>
        </c:ser>
        <c:ser>
          <c:idx val="0"/>
          <c:order val="1"/>
          <c:tx>
            <c:v>Compliant Agencies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'FY2014'!$D$223:$D$234</c:f>
              <c:numCache>
                <c:formatCode>#,##0</c:formatCode>
                <c:ptCount val="12"/>
                <c:pt idx="0">
                  <c:v>269</c:v>
                </c:pt>
                <c:pt idx="1">
                  <c:v>270</c:v>
                </c:pt>
                <c:pt idx="2">
                  <c:v>269</c:v>
                </c:pt>
                <c:pt idx="3">
                  <c:v>268</c:v>
                </c:pt>
                <c:pt idx="4">
                  <c:v>276</c:v>
                </c:pt>
                <c:pt idx="5">
                  <c:v>274</c:v>
                </c:pt>
                <c:pt idx="6">
                  <c:v>280</c:v>
                </c:pt>
                <c:pt idx="7">
                  <c:v>287</c:v>
                </c:pt>
                <c:pt idx="8">
                  <c:v>287</c:v>
                </c:pt>
                <c:pt idx="9">
                  <c:v>285</c:v>
                </c:pt>
                <c:pt idx="10">
                  <c:v>285</c:v>
                </c:pt>
                <c:pt idx="11">
                  <c:v>277</c:v>
                </c:pt>
              </c:numCache>
            </c:numRef>
          </c:val>
          <c:smooth val="0"/>
        </c:ser>
        <c:ser>
          <c:idx val="2"/>
          <c:order val="2"/>
          <c:tx>
            <c:v>Compliant Agencies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'FY2013'!$D$223:$D$234</c:f>
              <c:numCache>
                <c:formatCode>#,##0</c:formatCode>
                <c:ptCount val="12"/>
                <c:pt idx="0">
                  <c:v>224</c:v>
                </c:pt>
                <c:pt idx="1">
                  <c:v>240</c:v>
                </c:pt>
                <c:pt idx="2">
                  <c:v>243</c:v>
                </c:pt>
                <c:pt idx="3">
                  <c:v>240</c:v>
                </c:pt>
                <c:pt idx="4">
                  <c:v>240</c:v>
                </c:pt>
                <c:pt idx="5">
                  <c:v>248</c:v>
                </c:pt>
                <c:pt idx="6">
                  <c:v>249</c:v>
                </c:pt>
                <c:pt idx="7">
                  <c:v>256</c:v>
                </c:pt>
                <c:pt idx="8">
                  <c:v>268</c:v>
                </c:pt>
                <c:pt idx="9">
                  <c:v>274</c:v>
                </c:pt>
                <c:pt idx="10">
                  <c:v>276</c:v>
                </c:pt>
                <c:pt idx="11">
                  <c:v>275</c:v>
                </c:pt>
              </c:numCache>
            </c:numRef>
          </c:val>
          <c:smooth val="0"/>
        </c:ser>
        <c:ser>
          <c:idx val="1"/>
          <c:order val="3"/>
          <c:tx>
            <c:v>Compliant Agencies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'FY2012'!$D$211:$D$222</c:f>
              <c:numCache>
                <c:formatCode>#,##0</c:formatCode>
                <c:ptCount val="12"/>
                <c:pt idx="0">
                  <c:v>14</c:v>
                </c:pt>
                <c:pt idx="1">
                  <c:v>27</c:v>
                </c:pt>
                <c:pt idx="2">
                  <c:v>38</c:v>
                </c:pt>
                <c:pt idx="3">
                  <c:v>48</c:v>
                </c:pt>
                <c:pt idx="4">
                  <c:v>66</c:v>
                </c:pt>
                <c:pt idx="5">
                  <c:v>125</c:v>
                </c:pt>
                <c:pt idx="6">
                  <c:v>173</c:v>
                </c:pt>
                <c:pt idx="7">
                  <c:v>178</c:v>
                </c:pt>
                <c:pt idx="8">
                  <c:v>197</c:v>
                </c:pt>
                <c:pt idx="9">
                  <c:v>197</c:v>
                </c:pt>
                <c:pt idx="10">
                  <c:v>206</c:v>
                </c:pt>
                <c:pt idx="11">
                  <c:v>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50848"/>
        <c:axId val="108356736"/>
      </c:lineChart>
      <c:dateAx>
        <c:axId val="1083508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3567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35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350848"/>
        <c:crosses val="autoZero"/>
        <c:crossBetween val="between"/>
        <c:maj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159122914133277E-2"/>
          <c:y val="0.86223140714640334"/>
          <c:w val="0.85276387754435268"/>
          <c:h val="0.137768727778020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landscape" horizontalDpi="-3" verticalDpi="12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Mobile Device Sales Volume
FY2015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36"/>
          <c:y val="0.30526420389325304"/>
          <c:w val="0.81274979452290042"/>
          <c:h val="0.40701893852432336"/>
        </c:manualLayout>
      </c:layout>
      <c:lineChart>
        <c:grouping val="standard"/>
        <c:varyColors val="0"/>
        <c:ser>
          <c:idx val="2"/>
          <c:order val="0"/>
          <c:tx>
            <c:v>Mobile Sales 2015</c:v>
          </c:tx>
          <c:spPr>
            <a:ln>
              <a:solidFill>
                <a:srgbClr val="00B0F0"/>
              </a:solidFill>
            </a:ln>
          </c:spPr>
          <c:marker>
            <c:symbol val="star"/>
            <c:size val="7"/>
            <c:spPr>
              <a:noFill/>
              <a:ln>
                <a:solidFill>
                  <a:srgbClr val="00B0F0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'FY2015'!$D$203:$D$214</c:f>
              <c:numCache>
                <c:formatCode>"$"#,##0</c:formatCode>
                <c:ptCount val="12"/>
                <c:pt idx="0">
                  <c:v>50</c:v>
                </c:pt>
                <c:pt idx="1">
                  <c:v>405.02</c:v>
                </c:pt>
                <c:pt idx="2">
                  <c:v>0</c:v>
                </c:pt>
                <c:pt idx="3">
                  <c:v>50</c:v>
                </c:pt>
                <c:pt idx="4">
                  <c:v>18.75</c:v>
                </c:pt>
                <c:pt idx="5">
                  <c:v>1176.94</c:v>
                </c:pt>
                <c:pt idx="6">
                  <c:v>5854.5</c:v>
                </c:pt>
                <c:pt idx="7">
                  <c:v>147.44999999999999</c:v>
                </c:pt>
                <c:pt idx="8">
                  <c:v>50</c:v>
                </c:pt>
                <c:pt idx="9">
                  <c:v>100</c:v>
                </c:pt>
                <c:pt idx="10">
                  <c:v>0</c:v>
                </c:pt>
                <c:pt idx="11">
                  <c:v>50</c:v>
                </c:pt>
              </c:numCache>
            </c:numRef>
          </c:val>
          <c:smooth val="0"/>
        </c:ser>
        <c:ser>
          <c:idx val="0"/>
          <c:order val="1"/>
          <c:tx>
            <c:v>Mobile Sales 2014</c:v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'FY2014'!$D$203:$D$214</c:f>
              <c:numCache>
                <c:formatCode>"$"#,##0</c:formatCode>
                <c:ptCount val="12"/>
                <c:pt idx="0">
                  <c:v>275</c:v>
                </c:pt>
                <c:pt idx="1">
                  <c:v>287</c:v>
                </c:pt>
                <c:pt idx="2">
                  <c:v>0</c:v>
                </c:pt>
                <c:pt idx="3">
                  <c:v>1176.94</c:v>
                </c:pt>
                <c:pt idx="4">
                  <c:v>1175</c:v>
                </c:pt>
                <c:pt idx="5">
                  <c:v>5308.5</c:v>
                </c:pt>
                <c:pt idx="6">
                  <c:v>0</c:v>
                </c:pt>
                <c:pt idx="7">
                  <c:v>377.75</c:v>
                </c:pt>
                <c:pt idx="8">
                  <c:v>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Mobile Sales 2013</c:v>
          </c:tx>
          <c:spPr>
            <a:ln>
              <a:solidFill>
                <a:schemeClr val="accent4"/>
              </a:solidFill>
            </a:ln>
          </c:spPr>
          <c:marker>
            <c:symbol val="x"/>
            <c:size val="7"/>
            <c:spPr>
              <a:noFill/>
              <a:ln>
                <a:solidFill>
                  <a:schemeClr val="accent4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'FY2013'!$D$203:$D$214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167</c:v>
                </c:pt>
                <c:pt idx="7">
                  <c:v>751</c:v>
                </c:pt>
                <c:pt idx="8">
                  <c:v>2</c:v>
                </c:pt>
                <c:pt idx="9">
                  <c:v>492.5</c:v>
                </c:pt>
                <c:pt idx="10">
                  <c:v>200</c:v>
                </c:pt>
                <c:pt idx="11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94752"/>
        <c:axId val="108863872"/>
      </c:lineChart>
      <c:dateAx>
        <c:axId val="1083947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638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86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394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69344778087458"/>
          <c:y val="0.86223140714640389"/>
          <c:w val="0.81737962484439575"/>
          <c:h val="0.137768539242215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 horizontalDpi="-3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Network Fees
FY2017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3036437247187"/>
          <c:y val="0.30106344157989551"/>
          <c:w val="0.8137651821862345"/>
          <c:h val="0.40023728115914958"/>
        </c:manualLayout>
      </c:layout>
      <c:lineChart>
        <c:grouping val="standard"/>
        <c:varyColors val="0"/>
        <c:ser>
          <c:idx val="4"/>
          <c:order val="0"/>
          <c:tx>
            <c:v>Credit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'FY2015'!$B$76:$B$87</c:f>
              <c:numCache>
                <c:formatCode>"$"#,##0</c:formatCode>
                <c:ptCount val="12"/>
                <c:pt idx="0">
                  <c:v>946543.42999999993</c:v>
                </c:pt>
                <c:pt idx="1">
                  <c:v>850274.5900000002</c:v>
                </c:pt>
                <c:pt idx="2">
                  <c:v>916756.33000000007</c:v>
                </c:pt>
                <c:pt idx="3">
                  <c:v>959105.0900000002</c:v>
                </c:pt>
                <c:pt idx="4">
                  <c:v>940501.68000000017</c:v>
                </c:pt>
                <c:pt idx="5">
                  <c:v>1048066.0700000003</c:v>
                </c:pt>
                <c:pt idx="6">
                  <c:v>1049677.6000000003</c:v>
                </c:pt>
                <c:pt idx="7">
                  <c:v>1116060.0999999999</c:v>
                </c:pt>
                <c:pt idx="8">
                  <c:v>1120471.5700000005</c:v>
                </c:pt>
                <c:pt idx="9">
                  <c:v>1129411.1899999997</c:v>
                </c:pt>
                <c:pt idx="10">
                  <c:v>1148800.26</c:v>
                </c:pt>
                <c:pt idx="11">
                  <c:v>1079614.9700000002</c:v>
                </c:pt>
              </c:numCache>
            </c:numRef>
          </c:val>
          <c:smooth val="0"/>
        </c:ser>
        <c:ser>
          <c:idx val="0"/>
          <c:order val="1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'FY2014'!$B$76:$B$87</c:f>
              <c:numCache>
                <c:formatCode>"$"#,##0</c:formatCode>
                <c:ptCount val="12"/>
                <c:pt idx="0">
                  <c:v>835605.80999999982</c:v>
                </c:pt>
                <c:pt idx="1">
                  <c:v>843777.25</c:v>
                </c:pt>
                <c:pt idx="2">
                  <c:v>828297.13000000012</c:v>
                </c:pt>
                <c:pt idx="3">
                  <c:v>849557.98000000068</c:v>
                </c:pt>
                <c:pt idx="4">
                  <c:v>811839.42999999982</c:v>
                </c:pt>
                <c:pt idx="5">
                  <c:v>907254.31</c:v>
                </c:pt>
                <c:pt idx="6">
                  <c:v>930072.83000000019</c:v>
                </c:pt>
                <c:pt idx="7">
                  <c:v>1021434.3900000002</c:v>
                </c:pt>
                <c:pt idx="8">
                  <c:v>964629.56</c:v>
                </c:pt>
                <c:pt idx="9">
                  <c:v>1018159.4600000004</c:v>
                </c:pt>
                <c:pt idx="10">
                  <c:v>1020595.0499999998</c:v>
                </c:pt>
                <c:pt idx="11">
                  <c:v>959615.01</c:v>
                </c:pt>
              </c:numCache>
            </c:numRef>
          </c:val>
          <c:smooth val="0"/>
        </c:ser>
        <c:ser>
          <c:idx val="3"/>
          <c:order val="2"/>
          <c:tx>
            <c:v>Credit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'FY2013'!$B$76:$B$87</c:f>
              <c:numCache>
                <c:formatCode>"$"#,##0</c:formatCode>
                <c:ptCount val="12"/>
                <c:pt idx="0">
                  <c:v>828338.27000000025</c:v>
                </c:pt>
                <c:pt idx="1">
                  <c:v>788749.7699999999</c:v>
                </c:pt>
                <c:pt idx="2">
                  <c:v>798354.00999999978</c:v>
                </c:pt>
                <c:pt idx="3">
                  <c:v>826666.86</c:v>
                </c:pt>
                <c:pt idx="4">
                  <c:v>778684.64999999991</c:v>
                </c:pt>
                <c:pt idx="5">
                  <c:v>884092.4</c:v>
                </c:pt>
                <c:pt idx="6">
                  <c:v>841286.8600000001</c:v>
                </c:pt>
                <c:pt idx="7">
                  <c:v>904893.62000000023</c:v>
                </c:pt>
                <c:pt idx="8">
                  <c:v>933936.03</c:v>
                </c:pt>
                <c:pt idx="9">
                  <c:v>930942.11</c:v>
                </c:pt>
                <c:pt idx="10">
                  <c:v>948706.93</c:v>
                </c:pt>
                <c:pt idx="11">
                  <c:v>874303.06999999937</c:v>
                </c:pt>
              </c:numCache>
            </c:numRef>
          </c:val>
          <c:smooth val="0"/>
        </c:ser>
        <c:ser>
          <c:idx val="1"/>
          <c:order val="3"/>
          <c:tx>
            <c:v>Credit 2012</c:v>
          </c:tx>
          <c:marker>
            <c:symbol val="square"/>
            <c:size val="5"/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'FY2012'!$B$84:$B$95</c:f>
              <c:numCache>
                <c:formatCode>"$"#,##0</c:formatCode>
                <c:ptCount val="12"/>
                <c:pt idx="0">
                  <c:v>658627.5</c:v>
                </c:pt>
                <c:pt idx="1">
                  <c:v>648592</c:v>
                </c:pt>
                <c:pt idx="2">
                  <c:v>682470.53</c:v>
                </c:pt>
                <c:pt idx="3">
                  <c:v>654762.35</c:v>
                </c:pt>
                <c:pt idx="4">
                  <c:v>675088.63000000012</c:v>
                </c:pt>
                <c:pt idx="5">
                  <c:v>738130.39</c:v>
                </c:pt>
                <c:pt idx="6">
                  <c:v>757972.45000000007</c:v>
                </c:pt>
                <c:pt idx="7">
                  <c:v>846944.13</c:v>
                </c:pt>
                <c:pt idx="8">
                  <c:v>880652.52000000014</c:v>
                </c:pt>
                <c:pt idx="9">
                  <c:v>853362.1100000001</c:v>
                </c:pt>
                <c:pt idx="10">
                  <c:v>890581.28</c:v>
                </c:pt>
                <c:pt idx="11">
                  <c:v>848319.48999999987</c:v>
                </c:pt>
              </c:numCache>
            </c:numRef>
          </c:val>
          <c:smooth val="0"/>
        </c:ser>
        <c:ser>
          <c:idx val="2"/>
          <c:order val="4"/>
          <c:tx>
            <c:v>Credit 2011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'FY2011'!$B$85:$B$96</c:f>
              <c:numCache>
                <c:formatCode>"$"#,##0</c:formatCode>
                <c:ptCount val="12"/>
                <c:pt idx="0">
                  <c:v>650582.87</c:v>
                </c:pt>
                <c:pt idx="1">
                  <c:v>586329.14000000013</c:v>
                </c:pt>
                <c:pt idx="2">
                  <c:v>660166.44999999995</c:v>
                </c:pt>
                <c:pt idx="3">
                  <c:v>585522.64</c:v>
                </c:pt>
                <c:pt idx="4">
                  <c:v>608020.66999999993</c:v>
                </c:pt>
                <c:pt idx="5">
                  <c:v>702297.44</c:v>
                </c:pt>
                <c:pt idx="6">
                  <c:v>693580</c:v>
                </c:pt>
                <c:pt idx="7">
                  <c:v>717799.28</c:v>
                </c:pt>
                <c:pt idx="8">
                  <c:v>751491.67</c:v>
                </c:pt>
                <c:pt idx="9">
                  <c:v>770050.96</c:v>
                </c:pt>
                <c:pt idx="10">
                  <c:v>729298.57000000007</c:v>
                </c:pt>
                <c:pt idx="11">
                  <c:v>700181.32000000007</c:v>
                </c:pt>
              </c:numCache>
            </c:numRef>
          </c:val>
          <c:smooth val="0"/>
        </c:ser>
        <c:ser>
          <c:idx val="5"/>
          <c:order val="5"/>
          <c:tx>
            <c:v>Credit 2016</c:v>
          </c:tx>
          <c:val>
            <c:numRef>
              <c:f>'FY2016'!$B$76:$B$87</c:f>
              <c:numCache>
                <c:formatCode>"$"#,##0</c:formatCode>
                <c:ptCount val="12"/>
                <c:pt idx="0">
                  <c:v>1128174.7300000002</c:v>
                </c:pt>
                <c:pt idx="1">
                  <c:v>937151.09000000008</c:v>
                </c:pt>
                <c:pt idx="2">
                  <c:v>1040318.2200000003</c:v>
                </c:pt>
                <c:pt idx="3">
                  <c:v>1014600.2299999996</c:v>
                </c:pt>
                <c:pt idx="4">
                  <c:v>1000146.1700000002</c:v>
                </c:pt>
                <c:pt idx="5">
                  <c:v>1116690.0399999998</c:v>
                </c:pt>
                <c:pt idx="6">
                  <c:v>1162892.6299999999</c:v>
                </c:pt>
                <c:pt idx="7">
                  <c:v>1174372.3199999998</c:v>
                </c:pt>
                <c:pt idx="8">
                  <c:v>1247702.57</c:v>
                </c:pt>
                <c:pt idx="9">
                  <c:v>1265245.6600000001</c:v>
                </c:pt>
                <c:pt idx="10">
                  <c:v>1245977.9500000002</c:v>
                </c:pt>
                <c:pt idx="11">
                  <c:v>1237440.43</c:v>
                </c:pt>
              </c:numCache>
            </c:numRef>
          </c:val>
          <c:smooth val="0"/>
        </c:ser>
        <c:ser>
          <c:idx val="6"/>
          <c:order val="6"/>
          <c:tx>
            <c:v>Credit 2017</c:v>
          </c:tx>
          <c:val>
            <c:numRef>
              <c:f>'FY2017'!$B$76:$B$87</c:f>
              <c:numCache>
                <c:formatCode>_("$"* #,##0.00_);_("$"* \(#,##0.00\);_("$"* "-"??_);_(@_)</c:formatCode>
                <c:ptCount val="12"/>
                <c:pt idx="0">
                  <c:v>1162795.8699999999</c:v>
                </c:pt>
                <c:pt idx="1">
                  <c:v>1694297.91</c:v>
                </c:pt>
                <c:pt idx="2">
                  <c:v>1214590.7800000003</c:v>
                </c:pt>
                <c:pt idx="3">
                  <c:v>1126630.6599999999</c:v>
                </c:pt>
                <c:pt idx="4">
                  <c:v>1060370.6799999997</c:v>
                </c:pt>
                <c:pt idx="5">
                  <c:v>1297240.33</c:v>
                </c:pt>
                <c:pt idx="6">
                  <c:v>1235445.03</c:v>
                </c:pt>
                <c:pt idx="7">
                  <c:v>1282503.3499999994</c:v>
                </c:pt>
                <c:pt idx="8">
                  <c:v>1357671.6699999997</c:v>
                </c:pt>
                <c:pt idx="9">
                  <c:v>1280220.31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33728"/>
        <c:axId val="79435264"/>
      </c:lineChart>
      <c:dateAx>
        <c:axId val="794337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352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9435264"/>
        <c:scaling>
          <c:orientation val="minMax"/>
          <c:max val="1300000"/>
          <c:min val="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33728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3633484027424332E-2"/>
          <c:y val="0.8534925196850397"/>
          <c:w val="0.90747740924398967"/>
          <c:h val="0.14650763099057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Level 1, 2,</a:t>
            </a:r>
            <a:r>
              <a:rPr lang="en-US" baseline="0"/>
              <a:t> and 3 PCI Compliance</a:t>
            </a:r>
            <a:r>
              <a:rPr lang="en-US"/>
              <a:t>
FY2015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3"/>
          <c:y val="0.30526420389325287"/>
          <c:w val="0.81274979452290019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strRef>
              <c:f>'FY2015'!$D$238</c:f>
              <c:strCache>
                <c:ptCount val="1"/>
                <c:pt idx="0">
                  <c:v>Level 1 % Compliant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'FY2015'!$D$239:$D$250</c:f>
              <c:numCache>
                <c:formatCode>0%</c:formatCode>
                <c:ptCount val="1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'FY2015'!$H$238</c:f>
              <c:strCache>
                <c:ptCount val="1"/>
                <c:pt idx="0">
                  <c:v>Level 2 % Compliant </c:v>
                </c:pt>
              </c:strCache>
            </c:strRef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'FY2015'!$H$239:$H$250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'FY2015'!$K$238</c:f>
              <c:strCache>
                <c:ptCount val="1"/>
                <c:pt idx="0">
                  <c:v>Level 3 % Compliant </c:v>
                </c:pt>
              </c:strCache>
            </c:strRef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'FY2015'!$K$239:$K$250</c:f>
              <c:numCache>
                <c:formatCode>0%</c:formatCode>
                <c:ptCount val="12"/>
                <c:pt idx="0">
                  <c:v>0.7142857142857143</c:v>
                </c:pt>
                <c:pt idx="1">
                  <c:v>0.7142857142857143</c:v>
                </c:pt>
                <c:pt idx="2">
                  <c:v>0.6785714285714286</c:v>
                </c:pt>
                <c:pt idx="3">
                  <c:v>0.7142857142857143</c:v>
                </c:pt>
                <c:pt idx="4">
                  <c:v>0.73333333333333328</c:v>
                </c:pt>
                <c:pt idx="5">
                  <c:v>0.66666666666666663</c:v>
                </c:pt>
                <c:pt idx="6">
                  <c:v>0.56666666666666665</c:v>
                </c:pt>
                <c:pt idx="7">
                  <c:v>0.6</c:v>
                </c:pt>
                <c:pt idx="8">
                  <c:v>0.66666666666666663</c:v>
                </c:pt>
                <c:pt idx="9">
                  <c:v>0.66666666666666663</c:v>
                </c:pt>
                <c:pt idx="10">
                  <c:v>0.56666666666666665</c:v>
                </c:pt>
                <c:pt idx="11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94080"/>
        <c:axId val="108895616"/>
      </c:lineChart>
      <c:dateAx>
        <c:axId val="1088940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956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895616"/>
        <c:scaling>
          <c:orientation val="minMax"/>
          <c:max val="1"/>
          <c:min val="0.3000000000000003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94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38582677165317"/>
          <c:y val="0.86223140714640356"/>
          <c:w val="0.66472267543134056"/>
          <c:h val="8.4044494438195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66" r="0.75000000000001166" t="1" header="0.5" footer="0.5"/>
    <c:pageSetup orientation="landscape" horizontalDpi="-3" verticalDpi="120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Ticket
FY2014 Trend</a:t>
            </a:r>
          </a:p>
        </c:rich>
      </c:tx>
      <c:layout>
        <c:manualLayout>
          <c:xMode val="edge"/>
          <c:yMode val="edge"/>
          <c:x val="0.28236961556967244"/>
          <c:y val="4.2416130986108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076923076924"/>
          <c:y val="0.30633802816901823"/>
          <c:w val="0.74291497975708498"/>
          <c:h val="0.38732394366197748"/>
        </c:manualLayout>
      </c:layout>
      <c:lineChart>
        <c:grouping val="standard"/>
        <c:varyColors val="0"/>
        <c:ser>
          <c:idx val="0"/>
          <c:order val="0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'FY2014'!$A$42:$A$53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'FY2014'!$B$42:$B$53</c:f>
              <c:numCache>
                <c:formatCode>"$"#,##0.00</c:formatCode>
                <c:ptCount val="12"/>
                <c:pt idx="0">
                  <c:v>112.23421908818668</c:v>
                </c:pt>
                <c:pt idx="1">
                  <c:v>111.39053428702444</c:v>
                </c:pt>
                <c:pt idx="2">
                  <c:v>111.85412681270316</c:v>
                </c:pt>
                <c:pt idx="3">
                  <c:v>104.57913072601082</c:v>
                </c:pt>
                <c:pt idx="4">
                  <c:v>103.83446638347225</c:v>
                </c:pt>
                <c:pt idx="5">
                  <c:v>101.75635327489542</c:v>
                </c:pt>
                <c:pt idx="6">
                  <c:v>102.45078553850659</c:v>
                </c:pt>
                <c:pt idx="7">
                  <c:v>104.86605203808195</c:v>
                </c:pt>
                <c:pt idx="8">
                  <c:v>103.99235626087902</c:v>
                </c:pt>
                <c:pt idx="9">
                  <c:v>103.50197506827934</c:v>
                </c:pt>
                <c:pt idx="10">
                  <c:v>108.77887182144079</c:v>
                </c:pt>
                <c:pt idx="11">
                  <c:v>105.25311042622415</c:v>
                </c:pt>
              </c:numCache>
            </c:numRef>
          </c:val>
          <c:smooth val="0"/>
        </c:ser>
        <c:ser>
          <c:idx val="3"/>
          <c:order val="1"/>
          <c:tx>
            <c:v>Credit 2013</c:v>
          </c:tx>
          <c:val>
            <c:numRef>
              <c:f>'FY2013'!$B$42:$B$53</c:f>
              <c:numCache>
                <c:formatCode>"$"#,##0.00</c:formatCode>
                <c:ptCount val="12"/>
                <c:pt idx="0">
                  <c:v>108.73950024273563</c:v>
                </c:pt>
                <c:pt idx="1">
                  <c:v>109.75460323633641</c:v>
                </c:pt>
                <c:pt idx="2">
                  <c:v>112.83830492231093</c:v>
                </c:pt>
                <c:pt idx="3">
                  <c:v>108.13076362160129</c:v>
                </c:pt>
                <c:pt idx="4">
                  <c:v>104.00862529742373</c:v>
                </c:pt>
                <c:pt idx="5">
                  <c:v>103.7889000892815</c:v>
                </c:pt>
                <c:pt idx="6">
                  <c:v>101.77304704039832</c:v>
                </c:pt>
                <c:pt idx="7">
                  <c:v>107.4334113771756</c:v>
                </c:pt>
                <c:pt idx="8">
                  <c:v>105.27192882490488</c:v>
                </c:pt>
                <c:pt idx="9">
                  <c:v>107.33458130784473</c:v>
                </c:pt>
                <c:pt idx="10">
                  <c:v>109.20263289537816</c:v>
                </c:pt>
                <c:pt idx="11">
                  <c:v>110.51389658049433</c:v>
                </c:pt>
              </c:numCache>
            </c:numRef>
          </c:val>
          <c:smooth val="0"/>
        </c:ser>
        <c:ser>
          <c:idx val="1"/>
          <c:order val="2"/>
          <c:tx>
            <c:v>Credit 2012</c:v>
          </c:tx>
          <c:marker>
            <c:symbol val="square"/>
            <c:size val="5"/>
          </c:marker>
          <c:cat>
            <c:numRef>
              <c:f>'FY2014'!$A$42:$A$53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'FY2012'!$B$50:$B$61</c:f>
              <c:numCache>
                <c:formatCode>"$"#,##0.00</c:formatCode>
                <c:ptCount val="12"/>
                <c:pt idx="0">
                  <c:v>104.87587176416146</c:v>
                </c:pt>
                <c:pt idx="1">
                  <c:v>109.2566506558461</c:v>
                </c:pt>
                <c:pt idx="2">
                  <c:v>110.95790560242735</c:v>
                </c:pt>
                <c:pt idx="3">
                  <c:v>102.89695577184769</c:v>
                </c:pt>
                <c:pt idx="4">
                  <c:v>102.1088657087537</c:v>
                </c:pt>
                <c:pt idx="5">
                  <c:v>101.74116735632047</c:v>
                </c:pt>
                <c:pt idx="6">
                  <c:v>100.43686669052492</c:v>
                </c:pt>
                <c:pt idx="7">
                  <c:v>101.44484342424789</c:v>
                </c:pt>
                <c:pt idx="8">
                  <c:v>104.31766663771906</c:v>
                </c:pt>
                <c:pt idx="9">
                  <c:v>101.48431555141299</c:v>
                </c:pt>
                <c:pt idx="10">
                  <c:v>106.13461639796768</c:v>
                </c:pt>
                <c:pt idx="11">
                  <c:v>108.00339959458545</c:v>
                </c:pt>
              </c:numCache>
            </c:numRef>
          </c:val>
          <c:smooth val="0"/>
        </c:ser>
        <c:ser>
          <c:idx val="2"/>
          <c:order val="3"/>
          <c:tx>
            <c:v>Credit 2011</c:v>
          </c:tx>
          <c:cat>
            <c:numRef>
              <c:f>'FY2014'!$A$42:$A$53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'FY2011'!$B$51:$B$62</c:f>
              <c:numCache>
                <c:formatCode>"$"#,##0.00</c:formatCode>
                <c:ptCount val="12"/>
                <c:pt idx="0">
                  <c:v>117.94980015050862</c:v>
                </c:pt>
                <c:pt idx="1">
                  <c:v>108.14084366073983</c:v>
                </c:pt>
                <c:pt idx="2">
                  <c:v>116.75032527006751</c:v>
                </c:pt>
                <c:pt idx="3">
                  <c:v>104.64912960165499</c:v>
                </c:pt>
                <c:pt idx="4">
                  <c:v>103.17269576832263</c:v>
                </c:pt>
                <c:pt idx="5">
                  <c:v>103.34002475839274</c:v>
                </c:pt>
                <c:pt idx="6">
                  <c:v>108.58253865644565</c:v>
                </c:pt>
                <c:pt idx="7">
                  <c:v>107.75404068824753</c:v>
                </c:pt>
                <c:pt idx="8">
                  <c:v>109.49560837238501</c:v>
                </c:pt>
                <c:pt idx="9">
                  <c:v>106.39337916436747</c:v>
                </c:pt>
                <c:pt idx="10">
                  <c:v>103.10412311822802</c:v>
                </c:pt>
                <c:pt idx="11">
                  <c:v>107.68393004049138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41920"/>
        <c:axId val="108658688"/>
      </c:lineChart>
      <c:dateAx>
        <c:axId val="1090419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586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658688"/>
        <c:scaling>
          <c:orientation val="minMax"/>
          <c:max val="12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69696969739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41920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340741956378775E-2"/>
          <c:y val="0.85466403548191761"/>
          <c:w val="0.96598050807314895"/>
          <c:h val="9.57081729548077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Sales Dollars
FY2014 Trend</a:t>
            </a:r>
          </a:p>
        </c:rich>
      </c:tx>
      <c:layout>
        <c:manualLayout>
          <c:xMode val="edge"/>
          <c:yMode val="edge"/>
          <c:x val="0.31400000000000372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0000000000041"/>
          <c:y val="0.32089610704311111"/>
          <c:w val="0.72200000000000064"/>
          <c:h val="0.37313500818966283"/>
        </c:manualLayout>
      </c:layout>
      <c:lineChart>
        <c:grouping val="standard"/>
        <c:varyColors val="0"/>
        <c:ser>
          <c:idx val="0"/>
          <c:order val="0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'FY2014'!$A$9:$A$20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'FY2014'!$B$9:$B$20</c:f>
              <c:numCache>
                <c:formatCode>_("$"* #,##0_);_("$"* \(#,##0\);_("$"* "-"??_);_(@_)</c:formatCode>
                <c:ptCount val="12"/>
                <c:pt idx="0">
                  <c:v>689409353</c:v>
                </c:pt>
                <c:pt idx="1">
                  <c:v>693290007</c:v>
                </c:pt>
                <c:pt idx="2">
                  <c:v>673525486</c:v>
                </c:pt>
                <c:pt idx="3">
                  <c:v>682596248</c:v>
                </c:pt>
                <c:pt idx="4">
                  <c:v>647829362</c:v>
                </c:pt>
                <c:pt idx="5">
                  <c:v>723835475</c:v>
                </c:pt>
                <c:pt idx="6">
                  <c:v>735333649</c:v>
                </c:pt>
                <c:pt idx="7">
                  <c:v>790695800</c:v>
                </c:pt>
                <c:pt idx="8">
                  <c:v>764718191</c:v>
                </c:pt>
                <c:pt idx="9">
                  <c:v>814964719</c:v>
                </c:pt>
                <c:pt idx="10">
                  <c:v>843195944</c:v>
                </c:pt>
                <c:pt idx="11">
                  <c:v>744935941</c:v>
                </c:pt>
              </c:numCache>
            </c:numRef>
          </c:val>
          <c:smooth val="0"/>
        </c:ser>
        <c:ser>
          <c:idx val="3"/>
          <c:order val="1"/>
          <c:tx>
            <c:v>Credit 2013</c:v>
          </c:tx>
          <c:val>
            <c:numRef>
              <c:f>'FY2013'!$B$9:$B$20</c:f>
              <c:numCache>
                <c:formatCode>_("$"* #,##0_);_("$"* \(#,##0\);_("$"* "-"??_);_(@_)</c:formatCode>
                <c:ptCount val="12"/>
                <c:pt idx="0">
                  <c:v>680250064.61000001</c:v>
                </c:pt>
                <c:pt idx="1">
                  <c:v>650197903.55999994</c:v>
                </c:pt>
                <c:pt idx="2">
                  <c:v>662760523.16999996</c:v>
                </c:pt>
                <c:pt idx="3">
                  <c:v>686130893</c:v>
                </c:pt>
                <c:pt idx="4">
                  <c:v>633172788.17999995</c:v>
                </c:pt>
                <c:pt idx="5">
                  <c:v>727835334</c:v>
                </c:pt>
                <c:pt idx="6">
                  <c:v>678295172</c:v>
                </c:pt>
                <c:pt idx="7">
                  <c:v>777536960</c:v>
                </c:pt>
                <c:pt idx="8">
                  <c:v>755631799</c:v>
                </c:pt>
                <c:pt idx="9">
                  <c:v>754715702.38</c:v>
                </c:pt>
                <c:pt idx="10">
                  <c:v>782383137</c:v>
                </c:pt>
                <c:pt idx="11">
                  <c:v>713017868</c:v>
                </c:pt>
              </c:numCache>
            </c:numRef>
          </c:val>
          <c:smooth val="0"/>
        </c:ser>
        <c:ser>
          <c:idx val="1"/>
          <c:order val="2"/>
          <c:tx>
            <c:v>Credit 2012</c:v>
          </c:tx>
          <c:marker>
            <c:symbol val="square"/>
            <c:size val="5"/>
          </c:marker>
          <c:cat>
            <c:numRef>
              <c:f>'FY2014'!$A$9:$A$20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'FY2012'!$B$17:$B$28</c:f>
              <c:numCache>
                <c:formatCode>_("$"* #,##0_);_("$"* \(#,##0\);_("$"* "-"??_);_(@_)</c:formatCode>
                <c:ptCount val="12"/>
                <c:pt idx="0">
                  <c:v>628448001</c:v>
                </c:pt>
                <c:pt idx="1">
                  <c:v>621659635.08000004</c:v>
                </c:pt>
                <c:pt idx="2">
                  <c:v>656784254</c:v>
                </c:pt>
                <c:pt idx="3">
                  <c:v>610669972</c:v>
                </c:pt>
                <c:pt idx="4">
                  <c:v>626246437</c:v>
                </c:pt>
                <c:pt idx="5">
                  <c:v>691400416.17999995</c:v>
                </c:pt>
                <c:pt idx="6">
                  <c:v>645492676.69000006</c:v>
                </c:pt>
                <c:pt idx="7">
                  <c:v>718060180</c:v>
                </c:pt>
                <c:pt idx="8">
                  <c:v>742356437</c:v>
                </c:pt>
                <c:pt idx="9">
                  <c:v>710657823</c:v>
                </c:pt>
                <c:pt idx="10">
                  <c:v>753939134.65999997</c:v>
                </c:pt>
                <c:pt idx="11">
                  <c:v>684600825</c:v>
                </c:pt>
              </c:numCache>
            </c:numRef>
          </c:val>
          <c:smooth val="0"/>
        </c:ser>
        <c:ser>
          <c:idx val="2"/>
          <c:order val="3"/>
          <c:tx>
            <c:v>Credit 2011</c:v>
          </c:tx>
          <c:cat>
            <c:numRef>
              <c:f>'FY2014'!$A$9:$A$20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'FY2011'!$B$18:$B$29</c:f>
              <c:numCache>
                <c:formatCode>_("$"* #,##0_);_("$"* \(#,##0\);_("$"* "-"??_);_(@_)</c:formatCode>
                <c:ptCount val="12"/>
                <c:pt idx="0">
                  <c:v>643239706.91999936</c:v>
                </c:pt>
                <c:pt idx="1">
                  <c:v>563623696.85000002</c:v>
                </c:pt>
                <c:pt idx="2">
                  <c:v>644106174</c:v>
                </c:pt>
                <c:pt idx="3">
                  <c:v>572836045</c:v>
                </c:pt>
                <c:pt idx="4">
                  <c:v>568963267</c:v>
                </c:pt>
                <c:pt idx="5">
                  <c:v>660066737</c:v>
                </c:pt>
                <c:pt idx="6">
                  <c:v>664490173</c:v>
                </c:pt>
                <c:pt idx="7">
                  <c:v>677854809</c:v>
                </c:pt>
                <c:pt idx="8">
                  <c:v>714424682</c:v>
                </c:pt>
                <c:pt idx="9">
                  <c:v>728432697</c:v>
                </c:pt>
                <c:pt idx="10">
                  <c:v>677421927</c:v>
                </c:pt>
                <c:pt idx="11">
                  <c:v>667170972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10528"/>
        <c:axId val="108720512"/>
      </c:lineChart>
      <c:dateAx>
        <c:axId val="1087105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205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720512"/>
        <c:scaling>
          <c:orientation val="minMax"/>
          <c:min val="550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6.3590232285929823E-3"/>
              <c:y val="0.488806764020831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10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471415510049356E-2"/>
          <c:y val="0.83463825809729264"/>
          <c:w val="0.96504639547299098"/>
          <c:h val="0.11887011100639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Number of Transactions
FY2014</a:t>
            </a:r>
            <a:r>
              <a:rPr lang="en-US" baseline="0"/>
              <a:t> </a:t>
            </a:r>
            <a:r>
              <a:rPr lang="en-US"/>
              <a:t>Trend</a:t>
            </a:r>
          </a:p>
        </c:rich>
      </c:tx>
      <c:layout>
        <c:manualLayout>
          <c:xMode val="edge"/>
          <c:yMode val="edge"/>
          <c:x val="0.31388329979879842"/>
          <c:y val="3.7453183520599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53"/>
          <c:w val="0.74446680080482897"/>
          <c:h val="0.37078787302447758"/>
        </c:manualLayout>
      </c:layout>
      <c:lineChart>
        <c:grouping val="standard"/>
        <c:varyColors val="0"/>
        <c:ser>
          <c:idx val="0"/>
          <c:order val="0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'FY2014'!$A$25:$A$36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'FY2014'!$B$25:$B$36</c:f>
              <c:numCache>
                <c:formatCode>[Black]#,##0;[Black]\-#,##0</c:formatCode>
                <c:ptCount val="12"/>
                <c:pt idx="0">
                  <c:v>6142595</c:v>
                </c:pt>
                <c:pt idx="1">
                  <c:v>6223958</c:v>
                </c:pt>
                <c:pt idx="2">
                  <c:v>6021463</c:v>
                </c:pt>
                <c:pt idx="3">
                  <c:v>6527079</c:v>
                </c:pt>
                <c:pt idx="4">
                  <c:v>6239059</c:v>
                </c:pt>
                <c:pt idx="5">
                  <c:v>7113418</c:v>
                </c:pt>
                <c:pt idx="6">
                  <c:v>7177433</c:v>
                </c:pt>
                <c:pt idx="7">
                  <c:v>7540055</c:v>
                </c:pt>
                <c:pt idx="8">
                  <c:v>7353600</c:v>
                </c:pt>
                <c:pt idx="9">
                  <c:v>7873905</c:v>
                </c:pt>
                <c:pt idx="10">
                  <c:v>7751468</c:v>
                </c:pt>
                <c:pt idx="11">
                  <c:v>7077567</c:v>
                </c:pt>
              </c:numCache>
            </c:numRef>
          </c:val>
          <c:smooth val="0"/>
        </c:ser>
        <c:ser>
          <c:idx val="3"/>
          <c:order val="1"/>
          <c:tx>
            <c:v>Credit 2013</c:v>
          </c:tx>
          <c:val>
            <c:numRef>
              <c:f>'FY2013'!$B$25:$B$36</c:f>
              <c:numCache>
                <c:formatCode>[Black]#,##0;[Black]\-#,##0</c:formatCode>
                <c:ptCount val="12"/>
                <c:pt idx="0">
                  <c:v>6255777</c:v>
                </c:pt>
                <c:pt idx="1">
                  <c:v>5924106</c:v>
                </c:pt>
                <c:pt idx="2">
                  <c:v>5873542</c:v>
                </c:pt>
                <c:pt idx="3">
                  <c:v>6345381</c:v>
                </c:pt>
                <c:pt idx="4">
                  <c:v>6087695</c:v>
                </c:pt>
                <c:pt idx="5">
                  <c:v>7012651</c:v>
                </c:pt>
                <c:pt idx="6">
                  <c:v>6664782</c:v>
                </c:pt>
                <c:pt idx="7">
                  <c:v>7237385</c:v>
                </c:pt>
                <c:pt idx="8">
                  <c:v>7177904</c:v>
                </c:pt>
                <c:pt idx="9">
                  <c:v>7031431</c:v>
                </c:pt>
                <c:pt idx="10">
                  <c:v>7164508</c:v>
                </c:pt>
                <c:pt idx="11">
                  <c:v>6451839</c:v>
                </c:pt>
              </c:numCache>
            </c:numRef>
          </c:val>
          <c:smooth val="0"/>
        </c:ser>
        <c:ser>
          <c:idx val="1"/>
          <c:order val="2"/>
          <c:tx>
            <c:v>Credit 2012</c:v>
          </c:tx>
          <c:marker>
            <c:symbol val="square"/>
            <c:size val="5"/>
          </c:marker>
          <c:cat>
            <c:numRef>
              <c:f>'FY2014'!$A$25:$A$36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'FY2012'!$B$33:$B$44</c:f>
              <c:numCache>
                <c:formatCode>[Black]#,##0;[Black]\-#,##0</c:formatCode>
                <c:ptCount val="12"/>
                <c:pt idx="0">
                  <c:v>5992303</c:v>
                </c:pt>
                <c:pt idx="1">
                  <c:v>5689902</c:v>
                </c:pt>
                <c:pt idx="2">
                  <c:v>5919220</c:v>
                </c:pt>
                <c:pt idx="3">
                  <c:v>5934772</c:v>
                </c:pt>
                <c:pt idx="4">
                  <c:v>6133125</c:v>
                </c:pt>
                <c:pt idx="5">
                  <c:v>6795680</c:v>
                </c:pt>
                <c:pt idx="6">
                  <c:v>6426850</c:v>
                </c:pt>
                <c:pt idx="7">
                  <c:v>7078331</c:v>
                </c:pt>
                <c:pt idx="8">
                  <c:v>7116306</c:v>
                </c:pt>
                <c:pt idx="9">
                  <c:v>7002637</c:v>
                </c:pt>
                <c:pt idx="10">
                  <c:v>7103612</c:v>
                </c:pt>
                <c:pt idx="11">
                  <c:v>6338697</c:v>
                </c:pt>
              </c:numCache>
            </c:numRef>
          </c:val>
          <c:smooth val="0"/>
        </c:ser>
        <c:ser>
          <c:idx val="2"/>
          <c:order val="3"/>
          <c:tx>
            <c:v>Credit 2011</c:v>
          </c:tx>
          <c:cat>
            <c:numRef>
              <c:f>'FY2014'!$A$25:$A$36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'FY2011'!$B$34:$B$45</c:f>
              <c:numCache>
                <c:formatCode>[Black]#,##0;[Black]\-#,##0</c:formatCode>
                <c:ptCount val="12"/>
                <c:pt idx="0">
                  <c:v>5453504</c:v>
                </c:pt>
                <c:pt idx="1">
                  <c:v>5211941</c:v>
                </c:pt>
                <c:pt idx="2">
                  <c:v>5516954</c:v>
                </c:pt>
                <c:pt idx="3">
                  <c:v>5473873</c:v>
                </c:pt>
                <c:pt idx="4">
                  <c:v>5514669</c:v>
                </c:pt>
                <c:pt idx="5">
                  <c:v>6387329</c:v>
                </c:pt>
                <c:pt idx="6">
                  <c:v>6119678</c:v>
                </c:pt>
                <c:pt idx="7">
                  <c:v>6290760</c:v>
                </c:pt>
                <c:pt idx="8">
                  <c:v>6524688</c:v>
                </c:pt>
                <c:pt idx="9">
                  <c:v>6846598</c:v>
                </c:pt>
                <c:pt idx="10">
                  <c:v>6570270</c:v>
                </c:pt>
                <c:pt idx="11">
                  <c:v>6195641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64160"/>
        <c:axId val="108770048"/>
      </c:lineChart>
      <c:dateAx>
        <c:axId val="1087641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700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770048"/>
        <c:scaling>
          <c:orientation val="minMax"/>
          <c:max val="8000000"/>
          <c:min val="47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9.7945547113117842E-3"/>
              <c:y val="0.3632970833703583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#,##0;[Black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64160"/>
        <c:crosses val="autoZero"/>
        <c:crossBetween val="between"/>
        <c:majorUnit val="5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890253439623799E-3"/>
          <c:y val="0.84018272000463157"/>
          <c:w val="0.97190142818683989"/>
          <c:h val="0.11896622711577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
FY2014 Trend</a:t>
            </a:r>
          </a:p>
        </c:rich>
      </c:tx>
      <c:layout>
        <c:manualLayout>
          <c:xMode val="edge"/>
          <c:yMode val="edge"/>
          <c:x val="0.31400000000000372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0000000000012"/>
          <c:y val="0.31970260223049007"/>
          <c:w val="0.81200000000000061"/>
          <c:h val="0.3754646840148847"/>
        </c:manualLayout>
      </c:layout>
      <c:lineChart>
        <c:grouping val="standard"/>
        <c:varyColors val="0"/>
        <c:ser>
          <c:idx val="0"/>
          <c:order val="0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'FY2014'!$A$59:$A$70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'FY2014'!$B$59:$B$70</c:f>
              <c:numCache>
                <c:formatCode>"$"#,##0</c:formatCode>
                <c:ptCount val="12"/>
                <c:pt idx="0">
                  <c:v>11208320.709999999</c:v>
                </c:pt>
                <c:pt idx="1">
                  <c:v>11086599.040000001</c:v>
                </c:pt>
                <c:pt idx="2">
                  <c:v>10864014.720000001</c:v>
                </c:pt>
                <c:pt idx="3">
                  <c:v>10882043.560000001</c:v>
                </c:pt>
                <c:pt idx="4">
                  <c:v>10176580</c:v>
                </c:pt>
                <c:pt idx="5">
                  <c:v>11349258.65</c:v>
                </c:pt>
                <c:pt idx="6">
                  <c:v>11869675.34</c:v>
                </c:pt>
                <c:pt idx="7">
                  <c:v>12846913.58</c:v>
                </c:pt>
                <c:pt idx="8">
                  <c:v>12482566.360000001</c:v>
                </c:pt>
                <c:pt idx="9">
                  <c:v>12844355.149999999</c:v>
                </c:pt>
                <c:pt idx="10">
                  <c:v>14391386.869999999</c:v>
                </c:pt>
                <c:pt idx="11">
                  <c:v>11903990.560000001</c:v>
                </c:pt>
              </c:numCache>
            </c:numRef>
          </c:val>
          <c:smooth val="0"/>
        </c:ser>
        <c:ser>
          <c:idx val="3"/>
          <c:order val="1"/>
          <c:tx>
            <c:v>Credit 2013</c:v>
          </c:tx>
          <c:val>
            <c:numRef>
              <c:f>'FY2013'!$B$59:$B$70</c:f>
              <c:numCache>
                <c:formatCode>"$"#,##0</c:formatCode>
                <c:ptCount val="12"/>
                <c:pt idx="0">
                  <c:v>9906263.3499999996</c:v>
                </c:pt>
                <c:pt idx="1">
                  <c:v>10335858.539999999</c:v>
                </c:pt>
                <c:pt idx="2">
                  <c:v>10481313.57</c:v>
                </c:pt>
                <c:pt idx="3">
                  <c:v>11020817.949999999</c:v>
                </c:pt>
                <c:pt idx="4">
                  <c:v>10016656.34</c:v>
                </c:pt>
                <c:pt idx="5">
                  <c:v>11525646.879999999</c:v>
                </c:pt>
                <c:pt idx="6">
                  <c:v>11455928.32</c:v>
                </c:pt>
                <c:pt idx="7">
                  <c:v>12438261.300000001</c:v>
                </c:pt>
                <c:pt idx="8">
                  <c:v>12147493.199999999</c:v>
                </c:pt>
                <c:pt idx="9">
                  <c:v>12154274.180000002</c:v>
                </c:pt>
                <c:pt idx="10">
                  <c:v>12031129.640000001</c:v>
                </c:pt>
                <c:pt idx="11">
                  <c:v>11478861.59</c:v>
                </c:pt>
              </c:numCache>
            </c:numRef>
          </c:val>
          <c:smooth val="0"/>
        </c:ser>
        <c:ser>
          <c:idx val="1"/>
          <c:order val="2"/>
          <c:tx>
            <c:v>Credit 2012</c:v>
          </c:tx>
          <c:marker>
            <c:symbol val="square"/>
            <c:size val="5"/>
          </c:marker>
          <c:cat>
            <c:numRef>
              <c:f>'FY2014'!$A$59:$A$70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'FY2012'!$B$67:$B$78</c:f>
              <c:numCache>
                <c:formatCode>"$"#,##0</c:formatCode>
                <c:ptCount val="12"/>
                <c:pt idx="0">
                  <c:v>9710032.9700000007</c:v>
                </c:pt>
                <c:pt idx="1">
                  <c:v>9634886.9399999995</c:v>
                </c:pt>
                <c:pt idx="2">
                  <c:v>10149741</c:v>
                </c:pt>
                <c:pt idx="3">
                  <c:v>9394360</c:v>
                </c:pt>
                <c:pt idx="4">
                  <c:v>9469837.1799999997</c:v>
                </c:pt>
                <c:pt idx="5">
                  <c:v>10537308.210000001</c:v>
                </c:pt>
                <c:pt idx="6">
                  <c:v>10016212.059999999</c:v>
                </c:pt>
                <c:pt idx="7">
                  <c:v>11415144</c:v>
                </c:pt>
                <c:pt idx="8">
                  <c:v>11812731</c:v>
                </c:pt>
                <c:pt idx="9">
                  <c:v>11349766</c:v>
                </c:pt>
                <c:pt idx="10">
                  <c:v>12089605.68</c:v>
                </c:pt>
                <c:pt idx="11">
                  <c:v>10923025.050000001</c:v>
                </c:pt>
              </c:numCache>
            </c:numRef>
          </c:val>
          <c:smooth val="0"/>
        </c:ser>
        <c:ser>
          <c:idx val="2"/>
          <c:order val="3"/>
          <c:tx>
            <c:v>Credit 2011</c:v>
          </c:tx>
          <c:cat>
            <c:numRef>
              <c:f>'FY2014'!$A$59:$A$70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'FY2011'!$B$68:$B$79</c:f>
              <c:numCache>
                <c:formatCode>"$"#,##0</c:formatCode>
                <c:ptCount val="12"/>
                <c:pt idx="0">
                  <c:v>10754188.27999996</c:v>
                </c:pt>
                <c:pt idx="1">
                  <c:v>9229645.3699999992</c:v>
                </c:pt>
                <c:pt idx="2">
                  <c:v>10607398.27</c:v>
                </c:pt>
                <c:pt idx="3">
                  <c:v>9304238.8599999994</c:v>
                </c:pt>
                <c:pt idx="4">
                  <c:v>9168267</c:v>
                </c:pt>
                <c:pt idx="5">
                  <c:v>10804872.029999999</c:v>
                </c:pt>
                <c:pt idx="6">
                  <c:v>11039319</c:v>
                </c:pt>
                <c:pt idx="7">
                  <c:v>11244004</c:v>
                </c:pt>
                <c:pt idx="8">
                  <c:v>12028464</c:v>
                </c:pt>
                <c:pt idx="9">
                  <c:v>12168184.85</c:v>
                </c:pt>
                <c:pt idx="10">
                  <c:v>11351389</c:v>
                </c:pt>
                <c:pt idx="11">
                  <c:v>11211485.620000001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57760"/>
        <c:axId val="109171840"/>
      </c:lineChart>
      <c:dateAx>
        <c:axId val="1091577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71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9171840"/>
        <c:scaling>
          <c:orientation val="minMax"/>
          <c:max val="15000000"/>
          <c:min val="9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57760"/>
        <c:crosses val="autoZero"/>
        <c:crossBetween val="between"/>
        <c:majorUnit val="1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4972451346943727E-2"/>
          <c:y val="0.84862535228578995"/>
          <c:w val="0.94825073232098334"/>
          <c:h val="0.11083410178151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Signature</a:t>
            </a:r>
            <a:r>
              <a:rPr lang="en-US" baseline="0"/>
              <a:t> Debit Interchange</a:t>
            </a:r>
            <a:r>
              <a:rPr lang="en-US"/>
              <a:t>
FY2014 Trend</a:t>
            </a:r>
          </a:p>
        </c:rich>
      </c:tx>
      <c:layout>
        <c:manualLayout>
          <c:xMode val="edge"/>
          <c:yMode val="edge"/>
          <c:x val="0.27305284830222032"/>
          <c:y val="3.6977952755906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0"/>
          <c:order val="0"/>
          <c:tx>
            <c:v>Sig Debit Intx 2014</c:v>
          </c:tx>
          <c:spPr>
            <a:ln w="12700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'FY2014'!$A$93:$A$104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'FY2014'!$D$93:$D$104</c:f>
              <c:numCache>
                <c:formatCode>"$"#,##0</c:formatCode>
                <c:ptCount val="12"/>
                <c:pt idx="0">
                  <c:v>693283</c:v>
                </c:pt>
                <c:pt idx="1">
                  <c:v>728747</c:v>
                </c:pt>
                <c:pt idx="2">
                  <c:v>699606</c:v>
                </c:pt>
                <c:pt idx="3">
                  <c:v>727274</c:v>
                </c:pt>
                <c:pt idx="4">
                  <c:v>734520.17</c:v>
                </c:pt>
                <c:pt idx="5">
                  <c:v>844549</c:v>
                </c:pt>
                <c:pt idx="6">
                  <c:v>815478</c:v>
                </c:pt>
                <c:pt idx="7">
                  <c:v>852158</c:v>
                </c:pt>
                <c:pt idx="8">
                  <c:v>814222</c:v>
                </c:pt>
                <c:pt idx="9">
                  <c:v>864882</c:v>
                </c:pt>
                <c:pt idx="10">
                  <c:v>864571</c:v>
                </c:pt>
                <c:pt idx="11">
                  <c:v>820259</c:v>
                </c:pt>
              </c:numCache>
            </c:numRef>
          </c:val>
          <c:smooth val="0"/>
        </c:ser>
        <c:ser>
          <c:idx val="3"/>
          <c:order val="1"/>
          <c:tx>
            <c:v>Sig Debit Intx 2013</c:v>
          </c:tx>
          <c:val>
            <c:numRef>
              <c:f>'FY2013'!$D$93:$D$104</c:f>
              <c:numCache>
                <c:formatCode>"$"#,##0</c:formatCode>
                <c:ptCount val="12"/>
                <c:pt idx="0">
                  <c:v>714621</c:v>
                </c:pt>
                <c:pt idx="1">
                  <c:v>662887</c:v>
                </c:pt>
                <c:pt idx="2">
                  <c:v>684392</c:v>
                </c:pt>
                <c:pt idx="3">
                  <c:v>714127</c:v>
                </c:pt>
                <c:pt idx="4">
                  <c:v>702297</c:v>
                </c:pt>
                <c:pt idx="5">
                  <c:v>831895</c:v>
                </c:pt>
                <c:pt idx="6">
                  <c:v>753678</c:v>
                </c:pt>
                <c:pt idx="7">
                  <c:v>821527</c:v>
                </c:pt>
                <c:pt idx="8">
                  <c:v>826812</c:v>
                </c:pt>
                <c:pt idx="9">
                  <c:v>792155.5</c:v>
                </c:pt>
                <c:pt idx="10">
                  <c:v>814111</c:v>
                </c:pt>
                <c:pt idx="11">
                  <c:v>726496</c:v>
                </c:pt>
              </c:numCache>
            </c:numRef>
          </c:val>
          <c:smooth val="0"/>
        </c:ser>
        <c:ser>
          <c:idx val="2"/>
          <c:order val="2"/>
          <c:tx>
            <c:v>Sig Debit Intx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numRef>
              <c:f>'FY2014'!$A$93:$A$104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'FY2012'!$D$101:$D$112</c:f>
              <c:numCache>
                <c:formatCode>"$"#,##0</c:formatCode>
                <c:ptCount val="12"/>
                <c:pt idx="0">
                  <c:v>695078</c:v>
                </c:pt>
                <c:pt idx="1">
                  <c:v>669850.65</c:v>
                </c:pt>
                <c:pt idx="2">
                  <c:v>713838</c:v>
                </c:pt>
                <c:pt idx="3">
                  <c:v>693499</c:v>
                </c:pt>
                <c:pt idx="4">
                  <c:v>753063.25999999791</c:v>
                </c:pt>
                <c:pt idx="5">
                  <c:v>823340.15</c:v>
                </c:pt>
                <c:pt idx="6">
                  <c:v>740126</c:v>
                </c:pt>
                <c:pt idx="7">
                  <c:v>787384</c:v>
                </c:pt>
                <c:pt idx="8">
                  <c:v>807399</c:v>
                </c:pt>
                <c:pt idx="9">
                  <c:v>768086</c:v>
                </c:pt>
                <c:pt idx="10">
                  <c:v>801845.52</c:v>
                </c:pt>
                <c:pt idx="11">
                  <c:v>730956</c:v>
                </c:pt>
              </c:numCache>
            </c:numRef>
          </c:val>
          <c:smooth val="0"/>
        </c:ser>
        <c:ser>
          <c:idx val="1"/>
          <c:order val="3"/>
          <c:tx>
            <c:v>Sig Debit Intx 2011</c:v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'FY2014'!$A$93:$A$104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'FY2011'!$D$102:$D$113</c:f>
              <c:numCache>
                <c:formatCode>"$"#,##0</c:formatCode>
                <c:ptCount val="12"/>
                <c:pt idx="0">
                  <c:v>1056049</c:v>
                </c:pt>
                <c:pt idx="1">
                  <c:v>975947</c:v>
                </c:pt>
                <c:pt idx="2">
                  <c:v>1063565</c:v>
                </c:pt>
                <c:pt idx="3">
                  <c:v>1026501</c:v>
                </c:pt>
                <c:pt idx="4">
                  <c:v>1093455</c:v>
                </c:pt>
                <c:pt idx="5">
                  <c:v>1283904</c:v>
                </c:pt>
                <c:pt idx="6">
                  <c:v>1197405</c:v>
                </c:pt>
                <c:pt idx="7">
                  <c:v>1210519</c:v>
                </c:pt>
                <c:pt idx="8">
                  <c:v>1259255</c:v>
                </c:pt>
                <c:pt idx="9">
                  <c:v>1309200</c:v>
                </c:pt>
                <c:pt idx="10">
                  <c:v>1252713</c:v>
                </c:pt>
                <c:pt idx="11">
                  <c:v>1169794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98336"/>
        <c:axId val="109204608"/>
      </c:lineChart>
      <c:dateAx>
        <c:axId val="1091983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204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9204608"/>
        <c:scaling>
          <c:orientation val="minMax"/>
          <c:max val="1500000"/>
          <c:min val="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98336"/>
        <c:crosses val="autoZero"/>
        <c:crossBetween val="between"/>
        <c:majorUnit val="2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575681340081164E-2"/>
          <c:y val="0.83165472440944965"/>
          <c:w val="0.84996869927671415"/>
          <c:h val="0.14834527559055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New Set-Ups
FY2014 Trend</a:t>
            </a:r>
          </a:p>
        </c:rich>
      </c:tx>
      <c:layout>
        <c:manualLayout>
          <c:xMode val="edge"/>
          <c:yMode val="edge"/>
          <c:x val="0.36952086193320893"/>
          <c:y val="3.85964084750375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39071414610363E-2"/>
          <c:y val="0.18640530421719456"/>
          <c:w val="0.88571232295841651"/>
          <c:h val="0.56391262012710952"/>
        </c:manualLayout>
      </c:layout>
      <c:lineChart>
        <c:grouping val="standard"/>
        <c:varyColors val="0"/>
        <c:ser>
          <c:idx val="0"/>
          <c:order val="0"/>
          <c:tx>
            <c:v>New Account Setup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'FY2014'!$A$147:$A$158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'FY2014'!$B$147:$B$158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  <c:pt idx="4">
                  <c:v>15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  <c:pt idx="9">
                  <c:v>2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ser>
          <c:idx val="6"/>
          <c:order val="1"/>
          <c:tx>
            <c:v>New Account Setup 2013</c:v>
          </c:tx>
          <c:val>
            <c:numRef>
              <c:f>'FY2013'!$B$147:$B$158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29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  <c:smooth val="0"/>
        </c:ser>
        <c:ser>
          <c:idx val="4"/>
          <c:order val="2"/>
          <c:tx>
            <c:v>New Account Setup 2012</c:v>
          </c:tx>
          <c:cat>
            <c:numRef>
              <c:f>'FY2014'!$A$147:$A$158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'FY2012'!$B$155:$B$166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v>New Account Setup 2011</c:v>
          </c:tx>
          <c:cat>
            <c:numRef>
              <c:f>'FY2014'!$A$147:$A$158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'FY2011'!$B$156:$B$167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4"/>
          <c:tx>
            <c:v>New Location Only Setup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'FY2014'!$A$147:$A$158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'FY2014'!$C$147:$C$158</c:f>
              <c:numCache>
                <c:formatCode>General</c:formatCode>
                <c:ptCount val="12"/>
                <c:pt idx="0">
                  <c:v>20</c:v>
                </c:pt>
                <c:pt idx="1">
                  <c:v>11</c:v>
                </c:pt>
                <c:pt idx="2">
                  <c:v>20</c:v>
                </c:pt>
                <c:pt idx="3">
                  <c:v>18</c:v>
                </c:pt>
                <c:pt idx="4">
                  <c:v>36</c:v>
                </c:pt>
                <c:pt idx="5">
                  <c:v>19</c:v>
                </c:pt>
                <c:pt idx="6">
                  <c:v>34</c:v>
                </c:pt>
                <c:pt idx="7">
                  <c:v>18</c:v>
                </c:pt>
                <c:pt idx="8">
                  <c:v>1235</c:v>
                </c:pt>
                <c:pt idx="9">
                  <c:v>15</c:v>
                </c:pt>
                <c:pt idx="10">
                  <c:v>27</c:v>
                </c:pt>
                <c:pt idx="11">
                  <c:v>17</c:v>
                </c:pt>
              </c:numCache>
            </c:numRef>
          </c:val>
          <c:smooth val="0"/>
        </c:ser>
        <c:ser>
          <c:idx val="7"/>
          <c:order val="5"/>
          <c:tx>
            <c:v>New Location Only Setup 2013</c:v>
          </c:tx>
          <c:val>
            <c:numRef>
              <c:f>'FY2013'!$C$147:$C$158</c:f>
              <c:numCache>
                <c:formatCode>General</c:formatCode>
                <c:ptCount val="12"/>
                <c:pt idx="0">
                  <c:v>87</c:v>
                </c:pt>
                <c:pt idx="1">
                  <c:v>10</c:v>
                </c:pt>
                <c:pt idx="2">
                  <c:v>79</c:v>
                </c:pt>
                <c:pt idx="3">
                  <c:v>161</c:v>
                </c:pt>
                <c:pt idx="4">
                  <c:v>10</c:v>
                </c:pt>
                <c:pt idx="5">
                  <c:v>3</c:v>
                </c:pt>
                <c:pt idx="6">
                  <c:v>28</c:v>
                </c:pt>
                <c:pt idx="7">
                  <c:v>28</c:v>
                </c:pt>
                <c:pt idx="8">
                  <c:v>1</c:v>
                </c:pt>
                <c:pt idx="9">
                  <c:v>212</c:v>
                </c:pt>
                <c:pt idx="10">
                  <c:v>23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6"/>
          <c:tx>
            <c:v>New Location Only Setup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</c:spPr>
          </c:marker>
          <c:cat>
            <c:numRef>
              <c:f>'FY2014'!$A$147:$A$158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'FY2012'!$C$155:$C$166</c:f>
              <c:numCache>
                <c:formatCode>General</c:formatCode>
                <c:ptCount val="12"/>
                <c:pt idx="0">
                  <c:v>14</c:v>
                </c:pt>
                <c:pt idx="1">
                  <c:v>9</c:v>
                </c:pt>
                <c:pt idx="2">
                  <c:v>9</c:v>
                </c:pt>
                <c:pt idx="3">
                  <c:v>59</c:v>
                </c:pt>
                <c:pt idx="4">
                  <c:v>108</c:v>
                </c:pt>
                <c:pt idx="5">
                  <c:v>62</c:v>
                </c:pt>
                <c:pt idx="6">
                  <c:v>31</c:v>
                </c:pt>
                <c:pt idx="7">
                  <c:v>23</c:v>
                </c:pt>
                <c:pt idx="8">
                  <c:v>41</c:v>
                </c:pt>
                <c:pt idx="9">
                  <c:v>36</c:v>
                </c:pt>
                <c:pt idx="10">
                  <c:v>28</c:v>
                </c:pt>
                <c:pt idx="11">
                  <c:v>18</c:v>
                </c:pt>
              </c:numCache>
            </c:numRef>
          </c:val>
          <c:smooth val="0"/>
        </c:ser>
        <c:ser>
          <c:idx val="3"/>
          <c:order val="7"/>
          <c:tx>
            <c:v>New Location Only Setup 2011</c:v>
          </c:tx>
          <c:cat>
            <c:numRef>
              <c:f>'FY2014'!$A$147:$A$158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'FY2011'!$C$156:$C$167</c:f>
              <c:numCache>
                <c:formatCode>General</c:formatCode>
                <c:ptCount val="12"/>
                <c:pt idx="0">
                  <c:v>45</c:v>
                </c:pt>
                <c:pt idx="1">
                  <c:v>46</c:v>
                </c:pt>
                <c:pt idx="2">
                  <c:v>14</c:v>
                </c:pt>
                <c:pt idx="3">
                  <c:v>22</c:v>
                </c:pt>
                <c:pt idx="4">
                  <c:v>24</c:v>
                </c:pt>
                <c:pt idx="5">
                  <c:v>57</c:v>
                </c:pt>
                <c:pt idx="6">
                  <c:v>13</c:v>
                </c:pt>
                <c:pt idx="7">
                  <c:v>54</c:v>
                </c:pt>
                <c:pt idx="8">
                  <c:v>60</c:v>
                </c:pt>
                <c:pt idx="9">
                  <c:v>10</c:v>
                </c:pt>
                <c:pt idx="10">
                  <c:v>15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70976"/>
        <c:axId val="109076864"/>
      </c:lineChart>
      <c:dateAx>
        <c:axId val="1090709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76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9076864"/>
        <c:scaling>
          <c:orientation val="minMax"/>
          <c:max val="1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70976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75347995830031E-2"/>
          <c:y val="0.85685898609369349"/>
          <c:w val="0.9599301643079865"/>
          <c:h val="0.10986050262182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 horizontalDpi="-3" verticalDpi="120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Network Fees
FY2014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3036437247187"/>
          <c:y val="0.30106344157989551"/>
          <c:w val="0.8137651821862345"/>
          <c:h val="0.40023728115914958"/>
        </c:manualLayout>
      </c:layout>
      <c:lineChart>
        <c:grouping val="standard"/>
        <c:varyColors val="0"/>
        <c:ser>
          <c:idx val="0"/>
          <c:order val="0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'FY2014'!$A$76:$A$87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'FY2014'!$B$76:$B$87</c:f>
              <c:numCache>
                <c:formatCode>"$"#,##0</c:formatCode>
                <c:ptCount val="12"/>
                <c:pt idx="0">
                  <c:v>835605.80999999982</c:v>
                </c:pt>
                <c:pt idx="1">
                  <c:v>843777.25</c:v>
                </c:pt>
                <c:pt idx="2">
                  <c:v>828297.13000000012</c:v>
                </c:pt>
                <c:pt idx="3">
                  <c:v>849557.98000000068</c:v>
                </c:pt>
                <c:pt idx="4">
                  <c:v>811839.42999999982</c:v>
                </c:pt>
                <c:pt idx="5">
                  <c:v>907254.31</c:v>
                </c:pt>
                <c:pt idx="6">
                  <c:v>930072.83000000019</c:v>
                </c:pt>
                <c:pt idx="7">
                  <c:v>1021434.3900000002</c:v>
                </c:pt>
                <c:pt idx="8">
                  <c:v>964629.56</c:v>
                </c:pt>
                <c:pt idx="9">
                  <c:v>1018159.4600000004</c:v>
                </c:pt>
                <c:pt idx="10">
                  <c:v>1020595.0499999998</c:v>
                </c:pt>
                <c:pt idx="11">
                  <c:v>959615.01</c:v>
                </c:pt>
              </c:numCache>
            </c:numRef>
          </c:val>
          <c:smooth val="0"/>
        </c:ser>
        <c:ser>
          <c:idx val="3"/>
          <c:order val="1"/>
          <c:tx>
            <c:v>Credit 2013</c:v>
          </c:tx>
          <c:val>
            <c:numRef>
              <c:f>'FY2013'!$B$76:$B$87</c:f>
              <c:numCache>
                <c:formatCode>"$"#,##0</c:formatCode>
                <c:ptCount val="12"/>
                <c:pt idx="0">
                  <c:v>828338.27000000025</c:v>
                </c:pt>
                <c:pt idx="1">
                  <c:v>788749.7699999999</c:v>
                </c:pt>
                <c:pt idx="2">
                  <c:v>798354.00999999978</c:v>
                </c:pt>
                <c:pt idx="3">
                  <c:v>826666.86</c:v>
                </c:pt>
                <c:pt idx="4">
                  <c:v>778684.64999999991</c:v>
                </c:pt>
                <c:pt idx="5">
                  <c:v>884092.4</c:v>
                </c:pt>
                <c:pt idx="6">
                  <c:v>841286.8600000001</c:v>
                </c:pt>
                <c:pt idx="7">
                  <c:v>904893.62000000023</c:v>
                </c:pt>
                <c:pt idx="8">
                  <c:v>933936.03</c:v>
                </c:pt>
                <c:pt idx="9">
                  <c:v>930942.11</c:v>
                </c:pt>
                <c:pt idx="10">
                  <c:v>948706.93</c:v>
                </c:pt>
                <c:pt idx="11">
                  <c:v>874303.06999999937</c:v>
                </c:pt>
              </c:numCache>
            </c:numRef>
          </c:val>
          <c:smooth val="0"/>
        </c:ser>
        <c:ser>
          <c:idx val="1"/>
          <c:order val="2"/>
          <c:tx>
            <c:v>Credit 2012</c:v>
          </c:tx>
          <c:marker>
            <c:symbol val="square"/>
            <c:size val="5"/>
          </c:marker>
          <c:cat>
            <c:numRef>
              <c:f>'FY2014'!$A$76:$A$87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'FY2012'!$B$84:$B$95</c:f>
              <c:numCache>
                <c:formatCode>"$"#,##0</c:formatCode>
                <c:ptCount val="12"/>
                <c:pt idx="0">
                  <c:v>658627.5</c:v>
                </c:pt>
                <c:pt idx="1">
                  <c:v>648592</c:v>
                </c:pt>
                <c:pt idx="2">
                  <c:v>682470.53</c:v>
                </c:pt>
                <c:pt idx="3">
                  <c:v>654762.35</c:v>
                </c:pt>
                <c:pt idx="4">
                  <c:v>675088.63000000012</c:v>
                </c:pt>
                <c:pt idx="5">
                  <c:v>738130.39</c:v>
                </c:pt>
                <c:pt idx="6">
                  <c:v>757972.45000000007</c:v>
                </c:pt>
                <c:pt idx="7">
                  <c:v>846944.13</c:v>
                </c:pt>
                <c:pt idx="8">
                  <c:v>880652.52000000014</c:v>
                </c:pt>
                <c:pt idx="9">
                  <c:v>853362.1100000001</c:v>
                </c:pt>
                <c:pt idx="10">
                  <c:v>890581.28</c:v>
                </c:pt>
                <c:pt idx="11">
                  <c:v>848319.48999999987</c:v>
                </c:pt>
              </c:numCache>
            </c:numRef>
          </c:val>
          <c:smooth val="0"/>
        </c:ser>
        <c:ser>
          <c:idx val="2"/>
          <c:order val="3"/>
          <c:tx>
            <c:v>Credit 2011</c:v>
          </c:tx>
          <c:cat>
            <c:numRef>
              <c:f>'FY2014'!$A$76:$A$87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'FY2011'!$B$85:$B$96</c:f>
              <c:numCache>
                <c:formatCode>"$"#,##0</c:formatCode>
                <c:ptCount val="12"/>
                <c:pt idx="0">
                  <c:v>650582.87</c:v>
                </c:pt>
                <c:pt idx="1">
                  <c:v>586329.14000000013</c:v>
                </c:pt>
                <c:pt idx="2">
                  <c:v>660166.44999999995</c:v>
                </c:pt>
                <c:pt idx="3">
                  <c:v>585522.64</c:v>
                </c:pt>
                <c:pt idx="4">
                  <c:v>608020.66999999993</c:v>
                </c:pt>
                <c:pt idx="5">
                  <c:v>702297.44</c:v>
                </c:pt>
                <c:pt idx="6">
                  <c:v>693580</c:v>
                </c:pt>
                <c:pt idx="7">
                  <c:v>717799.28</c:v>
                </c:pt>
                <c:pt idx="8">
                  <c:v>751491.67</c:v>
                </c:pt>
                <c:pt idx="9">
                  <c:v>770050.96</c:v>
                </c:pt>
                <c:pt idx="10">
                  <c:v>729298.57000000007</c:v>
                </c:pt>
                <c:pt idx="11">
                  <c:v>700181.32000000007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70112"/>
        <c:axId val="110580096"/>
      </c:lineChart>
      <c:dateAx>
        <c:axId val="1105701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800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0580096"/>
        <c:scaling>
          <c:orientation val="minMax"/>
          <c:max val="1100000"/>
          <c:min val="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70112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424322338161141E-2"/>
          <c:y val="0.8534925196850397"/>
          <c:w val="0.94097503809563865"/>
          <c:h val="0.111507480314959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Terminals</a:t>
            </a:r>
            <a:r>
              <a:rPr lang="en-US" baseline="0"/>
              <a:t> on File</a:t>
            </a:r>
            <a:r>
              <a:rPr lang="en-US"/>
              <a:t>
FY2014 Trend</a:t>
            </a:r>
          </a:p>
        </c:rich>
      </c:tx>
      <c:layout>
        <c:manualLayout>
          <c:xMode val="edge"/>
          <c:yMode val="edge"/>
          <c:x val="0.37659666464012237"/>
          <c:y val="3.8596676188147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2"/>
          <c:y val="0.30526420389325226"/>
          <c:w val="0.81274979452289908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v>Active Terminals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'FY2014'!$A$164:$A$175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'FY2014'!$B$164:$B$175</c:f>
              <c:numCache>
                <c:formatCode>#,##0</c:formatCode>
                <c:ptCount val="12"/>
                <c:pt idx="0">
                  <c:v>8029</c:v>
                </c:pt>
                <c:pt idx="1">
                  <c:v>8036</c:v>
                </c:pt>
                <c:pt idx="2">
                  <c:v>8112</c:v>
                </c:pt>
                <c:pt idx="3">
                  <c:v>8140</c:v>
                </c:pt>
                <c:pt idx="4">
                  <c:v>7941</c:v>
                </c:pt>
                <c:pt idx="5">
                  <c:v>7984</c:v>
                </c:pt>
                <c:pt idx="6">
                  <c:v>8064</c:v>
                </c:pt>
                <c:pt idx="7">
                  <c:v>8091</c:v>
                </c:pt>
                <c:pt idx="8">
                  <c:v>9345</c:v>
                </c:pt>
                <c:pt idx="9">
                  <c:v>9386</c:v>
                </c:pt>
                <c:pt idx="10">
                  <c:v>9419</c:v>
                </c:pt>
                <c:pt idx="11">
                  <c:v>9462</c:v>
                </c:pt>
              </c:numCache>
            </c:numRef>
          </c:val>
          <c:smooth val="0"/>
        </c:ser>
        <c:ser>
          <c:idx val="3"/>
          <c:order val="1"/>
          <c:tx>
            <c:v>Active Terminals 2013</c:v>
          </c:tx>
          <c:val>
            <c:numRef>
              <c:f>'FY2013'!$B$164:$B$175</c:f>
              <c:numCache>
                <c:formatCode>#,##0</c:formatCode>
                <c:ptCount val="12"/>
                <c:pt idx="0">
                  <c:v>7236</c:v>
                </c:pt>
                <c:pt idx="1">
                  <c:v>7267</c:v>
                </c:pt>
                <c:pt idx="2">
                  <c:v>7362</c:v>
                </c:pt>
                <c:pt idx="3">
                  <c:v>7550</c:v>
                </c:pt>
                <c:pt idx="4">
                  <c:v>7572</c:v>
                </c:pt>
                <c:pt idx="5">
                  <c:v>7487</c:v>
                </c:pt>
                <c:pt idx="6">
                  <c:v>7554</c:v>
                </c:pt>
                <c:pt idx="7">
                  <c:v>7598</c:v>
                </c:pt>
                <c:pt idx="8">
                  <c:v>7648</c:v>
                </c:pt>
                <c:pt idx="9">
                  <c:v>7877</c:v>
                </c:pt>
                <c:pt idx="10">
                  <c:v>7935</c:v>
                </c:pt>
                <c:pt idx="11">
                  <c:v>8032</c:v>
                </c:pt>
              </c:numCache>
            </c:numRef>
          </c:val>
          <c:smooth val="0"/>
        </c:ser>
        <c:ser>
          <c:idx val="2"/>
          <c:order val="2"/>
          <c:tx>
            <c:v>Active Terminals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numRef>
              <c:f>'FY2014'!$A$164:$A$175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'FY2012'!$B$172:$B$183</c:f>
              <c:numCache>
                <c:formatCode>#,##0</c:formatCode>
                <c:ptCount val="12"/>
                <c:pt idx="0">
                  <c:v>6478</c:v>
                </c:pt>
                <c:pt idx="1">
                  <c:v>6489</c:v>
                </c:pt>
                <c:pt idx="2">
                  <c:v>6525</c:v>
                </c:pt>
                <c:pt idx="3">
                  <c:v>6618</c:v>
                </c:pt>
                <c:pt idx="4">
                  <c:v>6778</c:v>
                </c:pt>
                <c:pt idx="5">
                  <c:v>6815</c:v>
                </c:pt>
                <c:pt idx="6">
                  <c:v>6856</c:v>
                </c:pt>
                <c:pt idx="7">
                  <c:v>6922</c:v>
                </c:pt>
                <c:pt idx="8">
                  <c:v>6969</c:v>
                </c:pt>
                <c:pt idx="9">
                  <c:v>6988</c:v>
                </c:pt>
                <c:pt idx="10">
                  <c:v>7051</c:v>
                </c:pt>
                <c:pt idx="11">
                  <c:v>7139</c:v>
                </c:pt>
              </c:numCache>
            </c:numRef>
          </c:val>
          <c:smooth val="0"/>
        </c:ser>
        <c:ser>
          <c:idx val="1"/>
          <c:order val="3"/>
          <c:tx>
            <c:v>Active Terminals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'FY2014'!$A$164:$A$175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'FY2011'!$B$173:$B$184</c:f>
              <c:numCache>
                <c:formatCode>#,##0</c:formatCode>
                <c:ptCount val="12"/>
                <c:pt idx="0">
                  <c:v>5829</c:v>
                </c:pt>
                <c:pt idx="1">
                  <c:v>5890</c:v>
                </c:pt>
                <c:pt idx="2">
                  <c:v>5909</c:v>
                </c:pt>
                <c:pt idx="3">
                  <c:v>5961</c:v>
                </c:pt>
                <c:pt idx="4">
                  <c:v>6024</c:v>
                </c:pt>
                <c:pt idx="5">
                  <c:v>6130</c:v>
                </c:pt>
                <c:pt idx="6">
                  <c:v>6169</c:v>
                </c:pt>
                <c:pt idx="7">
                  <c:v>6236</c:v>
                </c:pt>
                <c:pt idx="8">
                  <c:v>6324</c:v>
                </c:pt>
                <c:pt idx="9">
                  <c:v>6360</c:v>
                </c:pt>
                <c:pt idx="10">
                  <c:v>6392</c:v>
                </c:pt>
                <c:pt idx="11">
                  <c:v>6455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0688"/>
        <c:axId val="110616960"/>
      </c:lineChart>
      <c:dateAx>
        <c:axId val="1106106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16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0616960"/>
        <c:scaling>
          <c:orientation val="minMax"/>
          <c:max val="8200"/>
          <c:min val="5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10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208253786498341E-2"/>
          <c:y val="0.85936045264490724"/>
          <c:w val="0.91505414745295099"/>
          <c:h val="9.0303983207738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landscape" horizontalDpi="-3" verticalDpi="1200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Chargebacks 
FY2014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4"/>
          <c:y val="0.30526420389325243"/>
          <c:w val="0.81274979452289953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v>Chargebacks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'FY2014'!$A$183:$A$194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'FY2014'!$D$183:$D$195</c:f>
              <c:numCache>
                <c:formatCode>0.000%</c:formatCode>
                <c:ptCount val="13"/>
                <c:pt idx="0">
                  <c:v>1.7077472957276199E-4</c:v>
                </c:pt>
                <c:pt idx="1">
                  <c:v>1.3528368925368712E-4</c:v>
                </c:pt>
                <c:pt idx="2">
                  <c:v>1.1907405226935713E-4</c:v>
                </c:pt>
                <c:pt idx="3">
                  <c:v>1.0923722541124445E-4</c:v>
                </c:pt>
                <c:pt idx="4">
                  <c:v>1.0947163666828604E-4</c:v>
                </c:pt>
                <c:pt idx="5">
                  <c:v>9.6296885688427141E-5</c:v>
                </c:pt>
                <c:pt idx="6">
                  <c:v>9.2512183673466544E-5</c:v>
                </c:pt>
                <c:pt idx="7">
                  <c:v>8.8195643135229119E-5</c:v>
                </c:pt>
                <c:pt idx="8">
                  <c:v>9.3151653611836383E-5</c:v>
                </c:pt>
                <c:pt idx="9">
                  <c:v>9.9315396871056994E-5</c:v>
                </c:pt>
                <c:pt idx="10">
                  <c:v>1.1597803151609475E-4</c:v>
                </c:pt>
                <c:pt idx="11">
                  <c:v>2.0656816106438838E-4</c:v>
                </c:pt>
                <c:pt idx="12">
                  <c:v>1.1856707963237703E-4</c:v>
                </c:pt>
              </c:numCache>
            </c:numRef>
          </c:val>
          <c:smooth val="0"/>
        </c:ser>
        <c:ser>
          <c:idx val="3"/>
          <c:order val="1"/>
          <c:tx>
            <c:v>Chargebacks 2013</c:v>
          </c:tx>
          <c:val>
            <c:numRef>
              <c:f>'FY2013'!$D$183:$D$194</c:f>
              <c:numCache>
                <c:formatCode>0.000%</c:formatCode>
                <c:ptCount val="12"/>
                <c:pt idx="0">
                  <c:v>1.0486307296439755E-4</c:v>
                </c:pt>
                <c:pt idx="1">
                  <c:v>1.1107161148028074E-4</c:v>
                </c:pt>
                <c:pt idx="2">
                  <c:v>9.0064904618031169E-5</c:v>
                </c:pt>
                <c:pt idx="3">
                  <c:v>8.6362032476852056E-5</c:v>
                </c:pt>
                <c:pt idx="4">
                  <c:v>8.5418208369506031E-5</c:v>
                </c:pt>
                <c:pt idx="5">
                  <c:v>9.1691430245138399E-5</c:v>
                </c:pt>
                <c:pt idx="6">
                  <c:v>9.9027995214247071E-5</c:v>
                </c:pt>
                <c:pt idx="7">
                  <c:v>1.0155601781582713E-4</c:v>
                </c:pt>
                <c:pt idx="8">
                  <c:v>1.1214973061774022E-4</c:v>
                </c:pt>
                <c:pt idx="9">
                  <c:v>1.1377484896033255E-4</c:v>
                </c:pt>
                <c:pt idx="10">
                  <c:v>1.1682588671825058E-4</c:v>
                </c:pt>
                <c:pt idx="11">
                  <c:v>1.1082111627398018E-4</c:v>
                </c:pt>
              </c:numCache>
            </c:numRef>
          </c:val>
          <c:smooth val="0"/>
        </c:ser>
        <c:ser>
          <c:idx val="2"/>
          <c:order val="2"/>
          <c:tx>
            <c:v>Chargebacks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numRef>
              <c:f>'FY2014'!$A$183:$A$194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'FY2012'!$D$191:$D$202</c:f>
              <c:numCache>
                <c:formatCode>0.000%</c:formatCode>
                <c:ptCount val="12"/>
                <c:pt idx="0">
                  <c:v>1.2299111042949598E-4</c:v>
                </c:pt>
                <c:pt idx="1">
                  <c:v>1.124799688992886E-4</c:v>
                </c:pt>
                <c:pt idx="2">
                  <c:v>1.0035105976800997E-4</c:v>
                </c:pt>
                <c:pt idx="3">
                  <c:v>9.4190644560566099E-5</c:v>
                </c:pt>
                <c:pt idx="4">
                  <c:v>1.1136247834505249E-4</c:v>
                </c:pt>
                <c:pt idx="5">
                  <c:v>1.0418383443599463E-4</c:v>
                </c:pt>
                <c:pt idx="6">
                  <c:v>9.0401985420540391E-5</c:v>
                </c:pt>
                <c:pt idx="7">
                  <c:v>1.0284910383535328E-4</c:v>
                </c:pt>
                <c:pt idx="8">
                  <c:v>9.6117283320869005E-5</c:v>
                </c:pt>
                <c:pt idx="9">
                  <c:v>9.8105899249097166E-5</c:v>
                </c:pt>
                <c:pt idx="10">
                  <c:v>1.181089282466441E-4</c:v>
                </c:pt>
                <c:pt idx="11">
                  <c:v>1.2147606992415002E-4</c:v>
                </c:pt>
              </c:numCache>
            </c:numRef>
          </c:val>
          <c:smooth val="0"/>
        </c:ser>
        <c:ser>
          <c:idx val="1"/>
          <c:order val="3"/>
          <c:tx>
            <c:v>Chargebacks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'FY2014'!$A$183:$A$194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'FY2011'!$D$192:$D$203</c:f>
              <c:numCache>
                <c:formatCode>0.000%</c:formatCode>
                <c:ptCount val="12"/>
                <c:pt idx="0">
                  <c:v>1.6668182511647556E-4</c:v>
                </c:pt>
                <c:pt idx="1">
                  <c:v>1.3219643123358457E-4</c:v>
                </c:pt>
                <c:pt idx="2">
                  <c:v>1.2416271732553868E-4</c:v>
                </c:pt>
                <c:pt idx="3">
                  <c:v>1.1326532420463537E-4</c:v>
                </c:pt>
                <c:pt idx="4">
                  <c:v>1.0444869855289592E-4</c:v>
                </c:pt>
                <c:pt idx="5">
                  <c:v>1.3526780912647524E-4</c:v>
                </c:pt>
                <c:pt idx="6">
                  <c:v>1.2337250423960215E-4</c:v>
                </c:pt>
                <c:pt idx="7">
                  <c:v>1.0634645098525457E-4</c:v>
                </c:pt>
                <c:pt idx="8">
                  <c:v>1.1341538476629074E-4</c:v>
                </c:pt>
                <c:pt idx="9">
                  <c:v>9.8881225391062833E-5</c:v>
                </c:pt>
                <c:pt idx="10">
                  <c:v>1.2891403245224322E-4</c:v>
                </c:pt>
                <c:pt idx="11">
                  <c:v>1.0362123951339337E-4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73120"/>
        <c:axId val="110391680"/>
      </c:lineChart>
      <c:dateAx>
        <c:axId val="1103731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916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0391680"/>
        <c:scaling>
          <c:orientation val="minMax"/>
          <c:max val="1.8000000000000297E-4"/>
          <c:min val="6.0000000000001106E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73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76901351124706E-2"/>
          <c:y val="0.86223130499694056"/>
          <c:w val="0.91295386214943264"/>
          <c:h val="8.6346808051703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landscape" horizontalDpi="-3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Terminals</a:t>
            </a:r>
            <a:r>
              <a:rPr lang="en-US" baseline="0"/>
              <a:t> on File</a:t>
            </a:r>
            <a:r>
              <a:rPr lang="en-US"/>
              <a:t>
FY2017 Trend</a:t>
            </a:r>
          </a:p>
        </c:rich>
      </c:tx>
      <c:layout>
        <c:manualLayout>
          <c:xMode val="edge"/>
          <c:yMode val="edge"/>
          <c:x val="0.37659666464012237"/>
          <c:y val="3.8596676188147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2"/>
          <c:y val="0.30526420389325226"/>
          <c:w val="0.81274979452289908"/>
          <c:h val="0.40701893852432336"/>
        </c:manualLayout>
      </c:layout>
      <c:lineChart>
        <c:grouping val="standard"/>
        <c:varyColors val="0"/>
        <c:ser>
          <c:idx val="4"/>
          <c:order val="0"/>
          <c:tx>
            <c:v>Active Terminals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'FY2015'!$B$164:$B$175</c:f>
              <c:numCache>
                <c:formatCode>#,##0</c:formatCode>
                <c:ptCount val="12"/>
                <c:pt idx="0">
                  <c:v>9934</c:v>
                </c:pt>
                <c:pt idx="1">
                  <c:v>9572</c:v>
                </c:pt>
                <c:pt idx="2">
                  <c:v>9586</c:v>
                </c:pt>
                <c:pt idx="3">
                  <c:v>9525</c:v>
                </c:pt>
                <c:pt idx="4">
                  <c:v>9462</c:v>
                </c:pt>
                <c:pt idx="5">
                  <c:v>9489</c:v>
                </c:pt>
                <c:pt idx="6">
                  <c:v>9598</c:v>
                </c:pt>
                <c:pt idx="7">
                  <c:v>9546</c:v>
                </c:pt>
                <c:pt idx="8">
                  <c:v>9685</c:v>
                </c:pt>
                <c:pt idx="9">
                  <c:v>10029</c:v>
                </c:pt>
                <c:pt idx="10">
                  <c:v>10544</c:v>
                </c:pt>
                <c:pt idx="11">
                  <c:v>11069</c:v>
                </c:pt>
              </c:numCache>
            </c:numRef>
          </c:val>
          <c:smooth val="0"/>
        </c:ser>
        <c:ser>
          <c:idx val="0"/>
          <c:order val="1"/>
          <c:tx>
            <c:v>Active Terminals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'FY2014'!$B$164:$B$175</c:f>
              <c:numCache>
                <c:formatCode>#,##0</c:formatCode>
                <c:ptCount val="12"/>
                <c:pt idx="0">
                  <c:v>8029</c:v>
                </c:pt>
                <c:pt idx="1">
                  <c:v>8036</c:v>
                </c:pt>
                <c:pt idx="2">
                  <c:v>8112</c:v>
                </c:pt>
                <c:pt idx="3">
                  <c:v>8140</c:v>
                </c:pt>
                <c:pt idx="4">
                  <c:v>7941</c:v>
                </c:pt>
                <c:pt idx="5">
                  <c:v>7984</c:v>
                </c:pt>
                <c:pt idx="6">
                  <c:v>8064</c:v>
                </c:pt>
                <c:pt idx="7">
                  <c:v>8091</c:v>
                </c:pt>
                <c:pt idx="8">
                  <c:v>9345</c:v>
                </c:pt>
                <c:pt idx="9">
                  <c:v>9386</c:v>
                </c:pt>
                <c:pt idx="10">
                  <c:v>9419</c:v>
                </c:pt>
                <c:pt idx="11">
                  <c:v>9462</c:v>
                </c:pt>
              </c:numCache>
            </c:numRef>
          </c:val>
          <c:smooth val="0"/>
        </c:ser>
        <c:ser>
          <c:idx val="3"/>
          <c:order val="2"/>
          <c:tx>
            <c:v>Active Terminals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'FY2013'!$B$164:$B$175</c:f>
              <c:numCache>
                <c:formatCode>#,##0</c:formatCode>
                <c:ptCount val="12"/>
                <c:pt idx="0">
                  <c:v>7236</c:v>
                </c:pt>
                <c:pt idx="1">
                  <c:v>7267</c:v>
                </c:pt>
                <c:pt idx="2">
                  <c:v>7362</c:v>
                </c:pt>
                <c:pt idx="3">
                  <c:v>7550</c:v>
                </c:pt>
                <c:pt idx="4">
                  <c:v>7572</c:v>
                </c:pt>
                <c:pt idx="5">
                  <c:v>7487</c:v>
                </c:pt>
                <c:pt idx="6">
                  <c:v>7554</c:v>
                </c:pt>
                <c:pt idx="7">
                  <c:v>7598</c:v>
                </c:pt>
                <c:pt idx="8">
                  <c:v>7648</c:v>
                </c:pt>
                <c:pt idx="9">
                  <c:v>7877</c:v>
                </c:pt>
                <c:pt idx="10">
                  <c:v>7935</c:v>
                </c:pt>
                <c:pt idx="11">
                  <c:v>8032</c:v>
                </c:pt>
              </c:numCache>
            </c:numRef>
          </c:val>
          <c:smooth val="0"/>
        </c:ser>
        <c:ser>
          <c:idx val="2"/>
          <c:order val="3"/>
          <c:tx>
            <c:v>Active Terminals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'FY2012'!$B$172:$B$183</c:f>
              <c:numCache>
                <c:formatCode>#,##0</c:formatCode>
                <c:ptCount val="12"/>
                <c:pt idx="0">
                  <c:v>6478</c:v>
                </c:pt>
                <c:pt idx="1">
                  <c:v>6489</c:v>
                </c:pt>
                <c:pt idx="2">
                  <c:v>6525</c:v>
                </c:pt>
                <c:pt idx="3">
                  <c:v>6618</c:v>
                </c:pt>
                <c:pt idx="4">
                  <c:v>6778</c:v>
                </c:pt>
                <c:pt idx="5">
                  <c:v>6815</c:v>
                </c:pt>
                <c:pt idx="6">
                  <c:v>6856</c:v>
                </c:pt>
                <c:pt idx="7">
                  <c:v>6922</c:v>
                </c:pt>
                <c:pt idx="8">
                  <c:v>6969</c:v>
                </c:pt>
                <c:pt idx="9">
                  <c:v>6988</c:v>
                </c:pt>
                <c:pt idx="10">
                  <c:v>7051</c:v>
                </c:pt>
                <c:pt idx="11">
                  <c:v>7139</c:v>
                </c:pt>
              </c:numCache>
            </c:numRef>
          </c:val>
          <c:smooth val="0"/>
        </c:ser>
        <c:ser>
          <c:idx val="1"/>
          <c:order val="4"/>
          <c:tx>
            <c:v>Active Terminals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'FY2011'!$B$173:$B$184</c:f>
              <c:numCache>
                <c:formatCode>#,##0</c:formatCode>
                <c:ptCount val="12"/>
                <c:pt idx="0">
                  <c:v>5829</c:v>
                </c:pt>
                <c:pt idx="1">
                  <c:v>5890</c:v>
                </c:pt>
                <c:pt idx="2">
                  <c:v>5909</c:v>
                </c:pt>
                <c:pt idx="3">
                  <c:v>5961</c:v>
                </c:pt>
                <c:pt idx="4">
                  <c:v>6024</c:v>
                </c:pt>
                <c:pt idx="5">
                  <c:v>6130</c:v>
                </c:pt>
                <c:pt idx="6">
                  <c:v>6169</c:v>
                </c:pt>
                <c:pt idx="7">
                  <c:v>6236</c:v>
                </c:pt>
                <c:pt idx="8">
                  <c:v>6324</c:v>
                </c:pt>
                <c:pt idx="9">
                  <c:v>6360</c:v>
                </c:pt>
                <c:pt idx="10">
                  <c:v>6392</c:v>
                </c:pt>
                <c:pt idx="11">
                  <c:v>6455</c:v>
                </c:pt>
              </c:numCache>
            </c:numRef>
          </c:val>
          <c:smooth val="0"/>
        </c:ser>
        <c:ser>
          <c:idx val="5"/>
          <c:order val="5"/>
          <c:tx>
            <c:v>Active Terminals 2016</c:v>
          </c:tx>
          <c:val>
            <c:numRef>
              <c:f>'FY2016'!$B$187:$B$198</c:f>
              <c:numCache>
                <c:formatCode>#,##0</c:formatCode>
                <c:ptCount val="12"/>
                <c:pt idx="0">
                  <c:v>8618</c:v>
                </c:pt>
                <c:pt idx="1">
                  <c:v>8665</c:v>
                </c:pt>
                <c:pt idx="2">
                  <c:v>8671</c:v>
                </c:pt>
                <c:pt idx="3">
                  <c:v>8718</c:v>
                </c:pt>
                <c:pt idx="4">
                  <c:v>9565</c:v>
                </c:pt>
                <c:pt idx="5">
                  <c:v>9801</c:v>
                </c:pt>
                <c:pt idx="6">
                  <c:v>9903</c:v>
                </c:pt>
                <c:pt idx="7">
                  <c:v>9955</c:v>
                </c:pt>
                <c:pt idx="8">
                  <c:v>9940</c:v>
                </c:pt>
                <c:pt idx="9">
                  <c:v>9974</c:v>
                </c:pt>
                <c:pt idx="10">
                  <c:v>10174</c:v>
                </c:pt>
                <c:pt idx="11">
                  <c:v>10163</c:v>
                </c:pt>
              </c:numCache>
            </c:numRef>
          </c:val>
          <c:smooth val="0"/>
        </c:ser>
        <c:ser>
          <c:idx val="6"/>
          <c:order val="6"/>
          <c:tx>
            <c:v>Active Terminals 2017</c:v>
          </c:tx>
          <c:val>
            <c:numRef>
              <c:f>'FY2017'!$B$187:$B$198</c:f>
              <c:numCache>
                <c:formatCode>#,##0</c:formatCode>
                <c:ptCount val="12"/>
                <c:pt idx="0">
                  <c:v>10205</c:v>
                </c:pt>
                <c:pt idx="1">
                  <c:v>10206</c:v>
                </c:pt>
                <c:pt idx="2">
                  <c:v>10229</c:v>
                </c:pt>
                <c:pt idx="3">
                  <c:v>10273</c:v>
                </c:pt>
                <c:pt idx="4">
                  <c:v>10387</c:v>
                </c:pt>
                <c:pt idx="5">
                  <c:v>10362</c:v>
                </c:pt>
                <c:pt idx="6">
                  <c:v>10362</c:v>
                </c:pt>
                <c:pt idx="7">
                  <c:v>10462</c:v>
                </c:pt>
                <c:pt idx="8">
                  <c:v>10515</c:v>
                </c:pt>
                <c:pt idx="9">
                  <c:v>12713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89280"/>
        <c:axId val="79634432"/>
      </c:lineChart>
      <c:dateAx>
        <c:axId val="794892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34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9634432"/>
        <c:scaling>
          <c:orientation val="minMax"/>
          <c:max val="11000"/>
          <c:min val="5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9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208253786498341E-2"/>
          <c:y val="0.85936045264490724"/>
          <c:w val="0.89243273958267055"/>
          <c:h val="0.140639666328837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landscape" horizontalDpi="-3" verticalDpi="120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 Cost Per Transaction
FY2014 Trend</a:t>
            </a:r>
          </a:p>
        </c:rich>
      </c:tx>
      <c:layout>
        <c:manualLayout>
          <c:xMode val="edge"/>
          <c:yMode val="edge"/>
          <c:x val="0.31325301204819223"/>
          <c:y val="3.6630074525356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460536442200781"/>
          <c:w val="0.80971659919028338"/>
          <c:h val="0.39315343547491688"/>
        </c:manualLayout>
      </c:layout>
      <c:lineChart>
        <c:grouping val="standard"/>
        <c:varyColors val="0"/>
        <c:ser>
          <c:idx val="0"/>
          <c:order val="0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'FY2014'!$A$111:$A$122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'FY2014'!$B$111:$B$122</c:f>
              <c:numCache>
                <c:formatCode>"$"#,##0.00</c:formatCode>
                <c:ptCount val="12"/>
                <c:pt idx="0">
                  <c:v>1.8246882156482722</c:v>
                </c:pt>
                <c:pt idx="1">
                  <c:v>1.781277932788107</c:v>
                </c:pt>
                <c:pt idx="2">
                  <c:v>1.8042151417354886</c:v>
                </c:pt>
                <c:pt idx="3">
                  <c:v>1.6672149302927084</c:v>
                </c:pt>
                <c:pt idx="4">
                  <c:v>1.6311081526877691</c:v>
                </c:pt>
                <c:pt idx="5">
                  <c:v>1.5954719165948072</c:v>
                </c:pt>
                <c:pt idx="6">
                  <c:v>1.6537493752989405</c:v>
                </c:pt>
                <c:pt idx="7">
                  <c:v>1.703822263895953</c:v>
                </c:pt>
                <c:pt idx="8">
                  <c:v>1.6974769310269802</c:v>
                </c:pt>
                <c:pt idx="9">
                  <c:v>1.6312560476663103</c:v>
                </c:pt>
                <c:pt idx="10">
                  <c:v>1.8566014682638179</c:v>
                </c:pt>
                <c:pt idx="11">
                  <c:v>1.6819325850253344</c:v>
                </c:pt>
              </c:numCache>
            </c:numRef>
          </c:val>
          <c:smooth val="0"/>
        </c:ser>
        <c:ser>
          <c:idx val="3"/>
          <c:order val="1"/>
          <c:tx>
            <c:v>Credit 2013</c:v>
          </c:tx>
          <c:val>
            <c:numRef>
              <c:f>'FY2013'!$B$111:$B$122</c:f>
              <c:numCache>
                <c:formatCode>"$"#,##0.00</c:formatCode>
                <c:ptCount val="12"/>
                <c:pt idx="0">
                  <c:v>1.7159501721368904</c:v>
                </c:pt>
                <c:pt idx="1">
                  <c:v>1.8778543648611281</c:v>
                </c:pt>
                <c:pt idx="2">
                  <c:v>1.9204200089145527</c:v>
                </c:pt>
                <c:pt idx="3">
                  <c:v>1.8671037735953127</c:v>
                </c:pt>
                <c:pt idx="4">
                  <c:v>1.7733051655840182</c:v>
                </c:pt>
                <c:pt idx="5">
                  <c:v>1.7696216851515925</c:v>
                </c:pt>
                <c:pt idx="6">
                  <c:v>1.8451038878691006</c:v>
                </c:pt>
                <c:pt idx="7">
                  <c:v>1.8436431003739613</c:v>
                </c:pt>
                <c:pt idx="8">
                  <c:v>1.822458092223022</c:v>
                </c:pt>
                <c:pt idx="9">
                  <c:v>1.8609606337600413</c:v>
                </c:pt>
                <c:pt idx="10">
                  <c:v>1.8116856830922654</c:v>
                </c:pt>
                <c:pt idx="11">
                  <c:v>1.914673422569906</c:v>
                </c:pt>
              </c:numCache>
            </c:numRef>
          </c:val>
          <c:smooth val="0"/>
        </c:ser>
        <c:ser>
          <c:idx val="1"/>
          <c:order val="2"/>
          <c:tx>
            <c:v>Credit 2012</c:v>
          </c:tx>
          <c:marker>
            <c:symbol val="square"/>
            <c:size val="5"/>
          </c:marker>
          <c:cat>
            <c:numRef>
              <c:f>'FY2014'!$A$111:$A$122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'FY2012'!$B$119:$B$130</c:f>
              <c:numCache>
                <c:formatCode>"$"#,##0.00</c:formatCode>
                <c:ptCount val="12"/>
                <c:pt idx="0">
                  <c:v>1.7303298030823877</c:v>
                </c:pt>
                <c:pt idx="1">
                  <c:v>1.8073209239807644</c:v>
                </c:pt>
                <c:pt idx="2">
                  <c:v>1.8300065768800617</c:v>
                </c:pt>
                <c:pt idx="3">
                  <c:v>1.6932617377718975</c:v>
                </c:pt>
                <c:pt idx="4">
                  <c:v>1.654120176908183</c:v>
                </c:pt>
                <c:pt idx="5">
                  <c:v>1.6592068196265866</c:v>
                </c:pt>
                <c:pt idx="6">
                  <c:v>1.6764331686596075</c:v>
                </c:pt>
                <c:pt idx="7">
                  <c:v>1.7323417243415151</c:v>
                </c:pt>
                <c:pt idx="8">
                  <c:v>1.7837040059828793</c:v>
                </c:pt>
                <c:pt idx="9">
                  <c:v>1.7426475354927007</c:v>
                </c:pt>
                <c:pt idx="10">
                  <c:v>1.8272657571950719</c:v>
                </c:pt>
                <c:pt idx="11">
                  <c:v>1.8570606135614309</c:v>
                </c:pt>
              </c:numCache>
            </c:numRef>
          </c:val>
          <c:smooth val="0"/>
        </c:ser>
        <c:ser>
          <c:idx val="2"/>
          <c:order val="3"/>
          <c:tx>
            <c:v>Credit 2011</c:v>
          </c:tx>
          <c:cat>
            <c:numRef>
              <c:f>'FY2014'!$A$111:$A$122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'FY2011'!$B$120:$B$131</c:f>
              <c:numCache>
                <c:formatCode>"$"#,##0.00</c:formatCode>
                <c:ptCount val="12"/>
                <c:pt idx="0">
                  <c:v>2.0912740047499661</c:v>
                </c:pt>
                <c:pt idx="1">
                  <c:v>1.883362553413402</c:v>
                </c:pt>
                <c:pt idx="2">
                  <c:v>2.0423524865351421</c:v>
                </c:pt>
                <c:pt idx="3">
                  <c:v>1.8067210364580983</c:v>
                </c:pt>
                <c:pt idx="4">
                  <c:v>1.7727786871705264</c:v>
                </c:pt>
                <c:pt idx="5">
                  <c:v>1.8015620410346795</c:v>
                </c:pt>
                <c:pt idx="6">
                  <c:v>1.9172412339342038</c:v>
                </c:pt>
                <c:pt idx="7">
                  <c:v>1.9014877820803844</c:v>
                </c:pt>
                <c:pt idx="8">
                  <c:v>1.9587075535259311</c:v>
                </c:pt>
                <c:pt idx="9">
                  <c:v>1.8897320698542543</c:v>
                </c:pt>
                <c:pt idx="10">
                  <c:v>1.838689668765515</c:v>
                </c:pt>
                <c:pt idx="11">
                  <c:v>1.9225883068434728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39040"/>
        <c:axId val="110449024"/>
      </c:lineChart>
      <c:dateAx>
        <c:axId val="1104390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490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0449024"/>
        <c:scaling>
          <c:orientation val="minMax"/>
          <c:max val="2.5"/>
          <c:min val="1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39040"/>
        <c:crosses val="autoZero"/>
        <c:crossBetween val="between"/>
        <c:majorUnit val="0.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716766933166113E-2"/>
          <c:y val="0.85271413302478793"/>
          <c:w val="0.93911380482390838"/>
          <c:h val="0.10858650140712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FY2014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51"/>
          <c:w val="0.81174089068826882"/>
          <c:h val="0.40023728115914958"/>
        </c:manualLayout>
      </c:layout>
      <c:lineChart>
        <c:grouping val="standard"/>
        <c:varyColors val="0"/>
        <c:ser>
          <c:idx val="0"/>
          <c:order val="0"/>
          <c:tx>
            <c:v>Credit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'FY2014'!$A$128:$A$139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'FY2014'!$B$128:$B$139</c:f>
              <c:numCache>
                <c:formatCode>"$"#,##0.000</c:formatCode>
                <c:ptCount val="12"/>
                <c:pt idx="0">
                  <c:v>0.13603465799063749</c:v>
                </c:pt>
                <c:pt idx="1">
                  <c:v>0.13556923905977514</c:v>
                </c:pt>
                <c:pt idx="2">
                  <c:v>0.13755745572130895</c:v>
                </c:pt>
                <c:pt idx="3">
                  <c:v>0.13015898535930095</c:v>
                </c:pt>
                <c:pt idx="4">
                  <c:v>0.13012209533520996</c:v>
                </c:pt>
                <c:pt idx="5">
                  <c:v>0.12754126216117204</c:v>
                </c:pt>
                <c:pt idx="6">
                  <c:v>0.12958293445581451</c:v>
                </c:pt>
                <c:pt idx="7">
                  <c:v>0.13546776382930897</c:v>
                </c:pt>
                <c:pt idx="8">
                  <c:v>0.13117786662315056</c:v>
                </c:pt>
                <c:pt idx="9">
                  <c:v>0.12930807013800655</c:v>
                </c:pt>
                <c:pt idx="10">
                  <c:v>0.13166474402010042</c:v>
                </c:pt>
                <c:pt idx="11">
                  <c:v>0.1355854363512207</c:v>
                </c:pt>
              </c:numCache>
            </c:numRef>
          </c:val>
          <c:smooth val="0"/>
        </c:ser>
        <c:ser>
          <c:idx val="3"/>
          <c:order val="1"/>
          <c:tx>
            <c:v>Credit 2013</c:v>
          </c:tx>
          <c:val>
            <c:numRef>
              <c:f>'FY2013'!$B$128:$B$139</c:f>
              <c:numCache>
                <c:formatCode>"$"#,##0.000</c:formatCode>
                <c:ptCount val="12"/>
                <c:pt idx="0">
                  <c:v>0.1324117323875196</c:v>
                </c:pt>
                <c:pt idx="1">
                  <c:v>0.13314241338693128</c:v>
                </c:pt>
                <c:pt idx="2">
                  <c:v>0.13592377648785006</c:v>
                </c:pt>
                <c:pt idx="3">
                  <c:v>0.13027852228258635</c:v>
                </c:pt>
                <c:pt idx="4">
                  <c:v>0.12791124555353051</c:v>
                </c:pt>
                <c:pt idx="5">
                  <c:v>0.12607106784581182</c:v>
                </c:pt>
                <c:pt idx="6">
                  <c:v>0.1262287138574075</c:v>
                </c:pt>
                <c:pt idx="7">
                  <c:v>0.12503046611448751</c:v>
                </c:pt>
                <c:pt idx="8">
                  <c:v>0.13011263873130652</c:v>
                </c:pt>
                <c:pt idx="9">
                  <c:v>0.13239724744507911</c:v>
                </c:pt>
                <c:pt idx="10">
                  <c:v>0.13241759657467059</c:v>
                </c:pt>
                <c:pt idx="11">
                  <c:v>0.13551222682401085</c:v>
                </c:pt>
              </c:numCache>
            </c:numRef>
          </c:val>
          <c:smooth val="0"/>
        </c:ser>
        <c:ser>
          <c:idx val="1"/>
          <c:order val="2"/>
          <c:tx>
            <c:v>Credit 2012</c:v>
          </c:tx>
          <c:marker>
            <c:symbol val="square"/>
            <c:size val="5"/>
          </c:marker>
          <c:cat>
            <c:numRef>
              <c:f>'FY2014'!$A$128:$A$139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'FY2012'!$B$136:$B$147</c:f>
              <c:numCache>
                <c:formatCode>"$"#,##0.000</c:formatCode>
                <c:ptCount val="12"/>
                <c:pt idx="0">
                  <c:v>0.10991224909688312</c:v>
                </c:pt>
                <c:pt idx="1">
                  <c:v>0.11399001248176155</c:v>
                </c:pt>
                <c:pt idx="2">
                  <c:v>0.11529737532985765</c:v>
                </c:pt>
                <c:pt idx="3">
                  <c:v>0.11032645399014486</c:v>
                </c:pt>
                <c:pt idx="4">
                  <c:v>0.11007253724650976</c:v>
                </c:pt>
                <c:pt idx="5">
                  <c:v>0.10861759088126574</c:v>
                </c:pt>
                <c:pt idx="6">
                  <c:v>0.11793840684005384</c:v>
                </c:pt>
                <c:pt idx="7">
                  <c:v>0.11965308347405625</c:v>
                </c:pt>
                <c:pt idx="8">
                  <c:v>0.12375135639192583</c:v>
                </c:pt>
                <c:pt idx="9">
                  <c:v>0.12186296533720084</c:v>
                </c:pt>
                <c:pt idx="10">
                  <c:v>0.12537020321492784</c:v>
                </c:pt>
                <c:pt idx="11">
                  <c:v>0.13383184114968738</c:v>
                </c:pt>
              </c:numCache>
            </c:numRef>
          </c:val>
          <c:smooth val="0"/>
        </c:ser>
        <c:ser>
          <c:idx val="2"/>
          <c:order val="3"/>
          <c:tx>
            <c:v>Credit 2011</c:v>
          </c:tx>
          <c:cat>
            <c:numRef>
              <c:f>'FY2014'!$A$128:$A$139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'FY2011'!$B$137:$B$148</c:f>
              <c:numCache>
                <c:formatCode>"$"#,##0.000</c:formatCode>
                <c:ptCount val="12"/>
                <c:pt idx="0">
                  <c:v>0.119296303807607</c:v>
                </c:pt>
                <c:pt idx="1">
                  <c:v>0.11249727117018403</c:v>
                </c:pt>
                <c:pt idx="2">
                  <c:v>0.11966140192577281</c:v>
                </c:pt>
                <c:pt idx="3">
                  <c:v>0.10696679298186129</c:v>
                </c:pt>
                <c:pt idx="4">
                  <c:v>0.11025515221312465</c:v>
                </c:pt>
                <c:pt idx="5">
                  <c:v>0.10995166211103263</c:v>
                </c:pt>
                <c:pt idx="6">
                  <c:v>0.11333602846424273</c:v>
                </c:pt>
                <c:pt idx="7">
                  <c:v>0.11410374581131692</c:v>
                </c:pt>
                <c:pt idx="8">
                  <c:v>0.1151766444617735</c:v>
                </c:pt>
                <c:pt idx="9">
                  <c:v>0.11247205692520577</c:v>
                </c:pt>
                <c:pt idx="10">
                  <c:v>0.11099978691895464</c:v>
                </c:pt>
                <c:pt idx="11">
                  <c:v>0.11301192564256064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2288"/>
        <c:axId val="110498176"/>
      </c:lineChart>
      <c:dateAx>
        <c:axId val="1104922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98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0498176"/>
        <c:scaling>
          <c:orientation val="minMax"/>
          <c:max val="0.15000000000000013"/>
          <c:min val="9.0000000000000024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92288"/>
        <c:crosses val="autoZero"/>
        <c:crossBetween val="between"/>
        <c:majorUnit val="1.0000000000000005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602919489411858E-2"/>
          <c:y val="0.84756456692913351"/>
          <c:w val="0.94783016818948662"/>
          <c:h val="0.11743543307086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Sales Dollars
FY2014 Trend</a:t>
            </a:r>
          </a:p>
        </c:rich>
      </c:tx>
      <c:layout>
        <c:manualLayout>
          <c:xMode val="edge"/>
          <c:yMode val="edge"/>
          <c:x val="0.3140000000000038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0000000000041"/>
          <c:y val="0.32089610704311122"/>
          <c:w val="0.72200000000000064"/>
          <c:h val="0.37313500818966294"/>
        </c:manualLayout>
      </c:layout>
      <c:lineChart>
        <c:grouping val="standard"/>
        <c:varyColors val="0"/>
        <c:ser>
          <c:idx val="1"/>
          <c:order val="0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'FY2014'!$A$9:$A$20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'FY2014'!$C$9:$C$20</c:f>
              <c:numCache>
                <c:formatCode>_("$"* #,##0_);_("$"* \(#,##0\);_("$"* "-"??_);_(@_)</c:formatCode>
                <c:ptCount val="12"/>
                <c:pt idx="0">
                  <c:v>196737992</c:v>
                </c:pt>
                <c:pt idx="1">
                  <c:v>243093144</c:v>
                </c:pt>
                <c:pt idx="2">
                  <c:v>222038681</c:v>
                </c:pt>
                <c:pt idx="3">
                  <c:v>224415244</c:v>
                </c:pt>
                <c:pt idx="4">
                  <c:v>218904018</c:v>
                </c:pt>
                <c:pt idx="5">
                  <c:v>237950792</c:v>
                </c:pt>
                <c:pt idx="6">
                  <c:v>220244625</c:v>
                </c:pt>
                <c:pt idx="7">
                  <c:v>233744781</c:v>
                </c:pt>
                <c:pt idx="8">
                  <c:v>217864234</c:v>
                </c:pt>
                <c:pt idx="9">
                  <c:v>216560864</c:v>
                </c:pt>
                <c:pt idx="10">
                  <c:v>245337299</c:v>
                </c:pt>
                <c:pt idx="11">
                  <c:v>214966735</c:v>
                </c:pt>
              </c:numCache>
            </c:numRef>
          </c:val>
          <c:smooth val="0"/>
        </c:ser>
        <c:ser>
          <c:idx val="2"/>
          <c:order val="1"/>
          <c:tx>
            <c:v>PIN Debit 2013</c:v>
          </c:tx>
          <c:val>
            <c:numRef>
              <c:f>'FY2013'!$C$9:$C$20</c:f>
              <c:numCache>
                <c:formatCode>_("$"* #,##0_);_("$"* \(#,##0\);_("$"* "-"??_);_(@_)</c:formatCode>
                <c:ptCount val="12"/>
                <c:pt idx="0">
                  <c:v>220970227</c:v>
                </c:pt>
                <c:pt idx="1">
                  <c:v>232085939.86000001</c:v>
                </c:pt>
                <c:pt idx="2">
                  <c:v>242619302.84999999</c:v>
                </c:pt>
                <c:pt idx="3">
                  <c:v>218486100</c:v>
                </c:pt>
                <c:pt idx="4">
                  <c:v>224050133.69999999</c:v>
                </c:pt>
                <c:pt idx="5">
                  <c:v>251065328</c:v>
                </c:pt>
                <c:pt idx="6">
                  <c:v>217338571</c:v>
                </c:pt>
                <c:pt idx="7">
                  <c:v>233336216</c:v>
                </c:pt>
                <c:pt idx="8">
                  <c:v>227933502</c:v>
                </c:pt>
                <c:pt idx="9">
                  <c:v>204194734.19</c:v>
                </c:pt>
                <c:pt idx="10">
                  <c:v>234661180</c:v>
                </c:pt>
                <c:pt idx="11">
                  <c:v>221974564</c:v>
                </c:pt>
              </c:numCache>
            </c:numRef>
          </c:val>
          <c:smooth val="0"/>
        </c:ser>
        <c:ser>
          <c:idx val="0"/>
          <c:order val="2"/>
          <c:tx>
            <c:v>PIN Debit 2012</c:v>
          </c:tx>
          <c:cat>
            <c:numRef>
              <c:f>'FY2014'!$A$9:$A$20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'FY2012'!$C$17:$C$28</c:f>
              <c:numCache>
                <c:formatCode>_("$"* #,##0_);_("$"* \(#,##0\);_("$"* "-"??_);_(@_)</c:formatCode>
                <c:ptCount val="12"/>
                <c:pt idx="0">
                  <c:v>211424832</c:v>
                </c:pt>
                <c:pt idx="1">
                  <c:v>207728753.31</c:v>
                </c:pt>
                <c:pt idx="2">
                  <c:v>221708758</c:v>
                </c:pt>
                <c:pt idx="3">
                  <c:v>205884255</c:v>
                </c:pt>
                <c:pt idx="4">
                  <c:v>211128500</c:v>
                </c:pt>
                <c:pt idx="5">
                  <c:v>220068302.31999999</c:v>
                </c:pt>
                <c:pt idx="6">
                  <c:v>211036392.41</c:v>
                </c:pt>
                <c:pt idx="7">
                  <c:v>218710035</c:v>
                </c:pt>
                <c:pt idx="8">
                  <c:v>220505653</c:v>
                </c:pt>
                <c:pt idx="9">
                  <c:v>211730585</c:v>
                </c:pt>
                <c:pt idx="10">
                  <c:v>224658336.80000001</c:v>
                </c:pt>
                <c:pt idx="11">
                  <c:v>230461236</c:v>
                </c:pt>
              </c:numCache>
            </c:numRef>
          </c:val>
          <c:smooth val="0"/>
        </c:ser>
        <c:ser>
          <c:idx val="3"/>
          <c:order val="3"/>
          <c:tx>
            <c:v>PIN Debit 2011</c:v>
          </c:tx>
          <c:cat>
            <c:numRef>
              <c:f>'FY2014'!$A$9:$A$20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'FY2011'!$C$18:$C$29</c:f>
              <c:numCache>
                <c:formatCode>_("$"* #,##0_);_("$"* \(#,##0\);_("$"* "-"??_);_(@_)</c:formatCode>
                <c:ptCount val="12"/>
                <c:pt idx="0">
                  <c:v>204861464.94999999</c:v>
                </c:pt>
                <c:pt idx="1">
                  <c:v>194394741.47999999</c:v>
                </c:pt>
                <c:pt idx="2">
                  <c:v>205489113</c:v>
                </c:pt>
                <c:pt idx="3">
                  <c:v>198520610</c:v>
                </c:pt>
                <c:pt idx="4">
                  <c:v>185496077</c:v>
                </c:pt>
                <c:pt idx="5">
                  <c:v>201254413</c:v>
                </c:pt>
                <c:pt idx="6">
                  <c:v>203187477</c:v>
                </c:pt>
                <c:pt idx="7">
                  <c:v>203260624</c:v>
                </c:pt>
                <c:pt idx="8">
                  <c:v>191492037</c:v>
                </c:pt>
                <c:pt idx="9">
                  <c:v>201987028</c:v>
                </c:pt>
                <c:pt idx="10">
                  <c:v>197799494</c:v>
                </c:pt>
                <c:pt idx="11">
                  <c:v>205150436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29152"/>
        <c:axId val="110543232"/>
      </c:lineChart>
      <c:dateAx>
        <c:axId val="1105291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432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0543232"/>
        <c:scaling>
          <c:orientation val="minMax"/>
          <c:min val="18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3395355378309409E-2"/>
              <c:y val="0.488806921948454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29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999616035557431E-2"/>
          <c:y val="0.86603554783788905"/>
          <c:w val="0.97402664771407865"/>
          <c:h val="9.41632486053311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Number of Transactions
FY2014</a:t>
            </a:r>
            <a:r>
              <a:rPr lang="en-US" baseline="0"/>
              <a:t> </a:t>
            </a:r>
            <a:r>
              <a:rPr lang="en-US"/>
              <a:t>Trend</a:t>
            </a:r>
          </a:p>
        </c:rich>
      </c:tx>
      <c:layout>
        <c:manualLayout>
          <c:xMode val="edge"/>
          <c:yMode val="edge"/>
          <c:x val="0.31388329979879853"/>
          <c:y val="3.7453183520599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75"/>
          <c:w val="0.74446680080482897"/>
          <c:h val="0.37078787302447785"/>
        </c:manualLayout>
      </c:layout>
      <c:lineChart>
        <c:grouping val="standard"/>
        <c:varyColors val="0"/>
        <c:ser>
          <c:idx val="1"/>
          <c:order val="0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'FY2014'!$A$25:$A$36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'FY2014'!$C$25:$C$36</c:f>
              <c:numCache>
                <c:formatCode>[Black]#,##0;[Black]\-#,##0</c:formatCode>
                <c:ptCount val="12"/>
                <c:pt idx="0">
                  <c:v>2747440</c:v>
                </c:pt>
                <c:pt idx="1">
                  <c:v>3258616</c:v>
                </c:pt>
                <c:pt idx="2">
                  <c:v>2999811</c:v>
                </c:pt>
                <c:pt idx="3">
                  <c:v>3104244</c:v>
                </c:pt>
                <c:pt idx="4">
                  <c:v>2976107</c:v>
                </c:pt>
                <c:pt idx="5">
                  <c:v>3303871</c:v>
                </c:pt>
                <c:pt idx="6">
                  <c:v>3152248</c:v>
                </c:pt>
                <c:pt idx="7">
                  <c:v>3322288</c:v>
                </c:pt>
                <c:pt idx="8">
                  <c:v>3126117</c:v>
                </c:pt>
                <c:pt idx="9">
                  <c:v>3109711</c:v>
                </c:pt>
                <c:pt idx="10">
                  <c:v>3361642</c:v>
                </c:pt>
                <c:pt idx="11">
                  <c:v>3090778</c:v>
                </c:pt>
              </c:numCache>
            </c:numRef>
          </c:val>
          <c:smooth val="0"/>
        </c:ser>
        <c:ser>
          <c:idx val="3"/>
          <c:order val="1"/>
          <c:tx>
            <c:v>PIN Debit 2013</c:v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val>
            <c:numRef>
              <c:f>'FY2013'!$C$25:$C$36</c:f>
              <c:numCache>
                <c:formatCode>[Black]#,##0;[Black]\-#,##0</c:formatCode>
                <c:ptCount val="12"/>
                <c:pt idx="0">
                  <c:v>3089139</c:v>
                </c:pt>
                <c:pt idx="1">
                  <c:v>3129893</c:v>
                </c:pt>
                <c:pt idx="2">
                  <c:v>3140413</c:v>
                </c:pt>
                <c:pt idx="3">
                  <c:v>3072954</c:v>
                </c:pt>
                <c:pt idx="4">
                  <c:v>3030850</c:v>
                </c:pt>
                <c:pt idx="5">
                  <c:v>3418073</c:v>
                </c:pt>
                <c:pt idx="6">
                  <c:v>3106396</c:v>
                </c:pt>
                <c:pt idx="7">
                  <c:v>3326812</c:v>
                </c:pt>
                <c:pt idx="8">
                  <c:v>3177057</c:v>
                </c:pt>
                <c:pt idx="9">
                  <c:v>2796040</c:v>
                </c:pt>
                <c:pt idx="10">
                  <c:v>3148673</c:v>
                </c:pt>
                <c:pt idx="11">
                  <c:v>3089060</c:v>
                </c:pt>
              </c:numCache>
            </c:numRef>
          </c:val>
          <c:smooth val="0"/>
        </c:ser>
        <c:ser>
          <c:idx val="0"/>
          <c:order val="2"/>
          <c:tx>
            <c:v>PIN Debit 2012</c:v>
          </c:tx>
          <c:cat>
            <c:numRef>
              <c:f>'FY2014'!$A$25:$A$36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'FY2012'!$C$33:$C$44</c:f>
              <c:numCache>
                <c:formatCode>[Black]#,##0;[Black]\-#,##0</c:formatCode>
                <c:ptCount val="12"/>
                <c:pt idx="0">
                  <c:v>2837421</c:v>
                </c:pt>
                <c:pt idx="1">
                  <c:v>2768231</c:v>
                </c:pt>
                <c:pt idx="2">
                  <c:v>2856005</c:v>
                </c:pt>
                <c:pt idx="3">
                  <c:v>2773958</c:v>
                </c:pt>
                <c:pt idx="4">
                  <c:v>2807394</c:v>
                </c:pt>
                <c:pt idx="5">
                  <c:v>2996465</c:v>
                </c:pt>
                <c:pt idx="6">
                  <c:v>2890871</c:v>
                </c:pt>
                <c:pt idx="7">
                  <c:v>3045930</c:v>
                </c:pt>
                <c:pt idx="8">
                  <c:v>3017903</c:v>
                </c:pt>
                <c:pt idx="9">
                  <c:v>2930068</c:v>
                </c:pt>
                <c:pt idx="10">
                  <c:v>3129911</c:v>
                </c:pt>
                <c:pt idx="11">
                  <c:v>3117200</c:v>
                </c:pt>
              </c:numCache>
            </c:numRef>
          </c:val>
          <c:smooth val="0"/>
        </c:ser>
        <c:ser>
          <c:idx val="2"/>
          <c:order val="3"/>
          <c:tx>
            <c:v>PIN Debit 2011</c:v>
          </c:tx>
          <c:spPr>
            <a:ln>
              <a:solidFill>
                <a:srgbClr val="7030A0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7030A0"/>
                </a:solidFill>
              </a:ln>
            </c:spPr>
          </c:marker>
          <c:cat>
            <c:numRef>
              <c:f>'FY2014'!$A$25:$A$36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'FY2011'!$C$34:$C$45</c:f>
              <c:numCache>
                <c:formatCode>[Black]#,##0;[Black]\-#,##0</c:formatCode>
                <c:ptCount val="12"/>
                <c:pt idx="0">
                  <c:v>2742674</c:v>
                </c:pt>
                <c:pt idx="1">
                  <c:v>2602330</c:v>
                </c:pt>
                <c:pt idx="2">
                  <c:v>2670307</c:v>
                </c:pt>
                <c:pt idx="3">
                  <c:v>2644287</c:v>
                </c:pt>
                <c:pt idx="4">
                  <c:v>2478299</c:v>
                </c:pt>
                <c:pt idx="5">
                  <c:v>2753231</c:v>
                </c:pt>
                <c:pt idx="6">
                  <c:v>2734993</c:v>
                </c:pt>
                <c:pt idx="7">
                  <c:v>2750883</c:v>
                </c:pt>
                <c:pt idx="8">
                  <c:v>2637336</c:v>
                </c:pt>
                <c:pt idx="9">
                  <c:v>2694067</c:v>
                </c:pt>
                <c:pt idx="10">
                  <c:v>2701393</c:v>
                </c:pt>
                <c:pt idx="11">
                  <c:v>2747644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28864"/>
        <c:axId val="111043328"/>
      </c:lineChart>
      <c:dateAx>
        <c:axId val="1110288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433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043328"/>
        <c:scaling>
          <c:orientation val="minMax"/>
          <c:max val="3500000"/>
          <c:min val="22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1.3545020159193387E-2"/>
              <c:y val="0.3632970597776403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#,##0;[Black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28864"/>
        <c:crosses val="autoZero"/>
        <c:crossBetween val="between"/>
        <c:majorUnit val="250000"/>
        <c:min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655506906334746E-2"/>
          <c:y val="0.8553892831926867"/>
          <c:w val="0.9661582187339266"/>
          <c:h val="0.10466071913936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
FY2014 Trend</a:t>
            </a:r>
          </a:p>
        </c:rich>
      </c:tx>
      <c:layout>
        <c:manualLayout>
          <c:xMode val="edge"/>
          <c:yMode val="edge"/>
          <c:x val="0.31400000000000383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0000000000012"/>
          <c:y val="0.31970260223049024"/>
          <c:w val="0.81200000000000061"/>
          <c:h val="0.37546468401488498"/>
        </c:manualLayout>
      </c:layout>
      <c:lineChart>
        <c:grouping val="standard"/>
        <c:varyColors val="0"/>
        <c:ser>
          <c:idx val="1"/>
          <c:order val="0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'FY2014'!$A$59:$A$70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'FY2014'!$C$59:$C$70</c:f>
              <c:numCache>
                <c:formatCode>"$"#,##0</c:formatCode>
                <c:ptCount val="12"/>
                <c:pt idx="0">
                  <c:v>722953.34</c:v>
                </c:pt>
                <c:pt idx="1">
                  <c:v>817497.05999999994</c:v>
                </c:pt>
                <c:pt idx="2">
                  <c:v>797029.60999999987</c:v>
                </c:pt>
                <c:pt idx="3">
                  <c:v>805116.75000000012</c:v>
                </c:pt>
                <c:pt idx="4">
                  <c:v>758894.21</c:v>
                </c:pt>
                <c:pt idx="5">
                  <c:v>836154.77000000014</c:v>
                </c:pt>
                <c:pt idx="6">
                  <c:v>824336.32999999984</c:v>
                </c:pt>
                <c:pt idx="7">
                  <c:v>869203.09000000008</c:v>
                </c:pt>
                <c:pt idx="8">
                  <c:v>784302.5900000002</c:v>
                </c:pt>
                <c:pt idx="9">
                  <c:v>809686.24000000022</c:v>
                </c:pt>
                <c:pt idx="10">
                  <c:v>811586.24000000022</c:v>
                </c:pt>
                <c:pt idx="11">
                  <c:v>784412.19000000018</c:v>
                </c:pt>
              </c:numCache>
            </c:numRef>
          </c:val>
          <c:smooth val="0"/>
        </c:ser>
        <c:ser>
          <c:idx val="2"/>
          <c:order val="1"/>
          <c:tx>
            <c:v>PIN Debit 2013</c:v>
          </c:tx>
          <c:val>
            <c:numRef>
              <c:f>'FY2013'!$C$59:$C$70</c:f>
              <c:numCache>
                <c:formatCode>"$"#,##0</c:formatCode>
                <c:ptCount val="12"/>
                <c:pt idx="0">
                  <c:v>787061.98999999987</c:v>
                </c:pt>
                <c:pt idx="1">
                  <c:v>813583.88000000012</c:v>
                </c:pt>
                <c:pt idx="2">
                  <c:v>802315.87</c:v>
                </c:pt>
                <c:pt idx="3">
                  <c:v>782689.96999999986</c:v>
                </c:pt>
                <c:pt idx="4">
                  <c:v>776752.9</c:v>
                </c:pt>
                <c:pt idx="5">
                  <c:v>869636.29999999993</c:v>
                </c:pt>
                <c:pt idx="6">
                  <c:v>803401.98</c:v>
                </c:pt>
                <c:pt idx="7">
                  <c:v>869059.80999999994</c:v>
                </c:pt>
                <c:pt idx="8">
                  <c:v>806126.21</c:v>
                </c:pt>
                <c:pt idx="9">
                  <c:v>721802.36</c:v>
                </c:pt>
                <c:pt idx="10">
                  <c:v>816320.39000000025</c:v>
                </c:pt>
                <c:pt idx="11">
                  <c:v>777974.19000000018</c:v>
                </c:pt>
              </c:numCache>
            </c:numRef>
          </c:val>
          <c:smooth val="0"/>
        </c:ser>
        <c:ser>
          <c:idx val="0"/>
          <c:order val="2"/>
          <c:tx>
            <c:v>PIN Debit 2012</c:v>
          </c:tx>
          <c:cat>
            <c:numRef>
              <c:f>'FY2014'!$A$59:$A$70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'FY2012'!$C$67:$C$78</c:f>
              <c:numCache>
                <c:formatCode>"$"#,##0</c:formatCode>
                <c:ptCount val="12"/>
                <c:pt idx="0">
                  <c:v>706513.09999999986</c:v>
                </c:pt>
                <c:pt idx="1">
                  <c:v>719959.22999999986</c:v>
                </c:pt>
                <c:pt idx="2">
                  <c:v>749991.60000000009</c:v>
                </c:pt>
                <c:pt idx="3">
                  <c:v>702725.10000000009</c:v>
                </c:pt>
                <c:pt idx="4">
                  <c:v>722662.79000000027</c:v>
                </c:pt>
                <c:pt idx="5">
                  <c:v>784746.1</c:v>
                </c:pt>
                <c:pt idx="6">
                  <c:v>722652.05999999994</c:v>
                </c:pt>
                <c:pt idx="7">
                  <c:v>786373.25999999989</c:v>
                </c:pt>
                <c:pt idx="8">
                  <c:v>782377.27999999991</c:v>
                </c:pt>
                <c:pt idx="9">
                  <c:v>740166.21000000031</c:v>
                </c:pt>
                <c:pt idx="10">
                  <c:v>818195.74000000022</c:v>
                </c:pt>
                <c:pt idx="11">
                  <c:v>788317.35000000009</c:v>
                </c:pt>
              </c:numCache>
            </c:numRef>
          </c:val>
          <c:smooth val="0"/>
        </c:ser>
        <c:ser>
          <c:idx val="3"/>
          <c:order val="3"/>
          <c:tx>
            <c:v>PIN Debit 2011</c:v>
          </c:tx>
          <c:cat>
            <c:numRef>
              <c:f>'FY2014'!$A$59:$A$70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'FY2011'!$C$68:$C$79</c:f>
              <c:numCache>
                <c:formatCode>"$"#,##0</c:formatCode>
                <c:ptCount val="12"/>
                <c:pt idx="0">
                  <c:v>869767.96</c:v>
                </c:pt>
                <c:pt idx="1">
                  <c:v>816758.36</c:v>
                </c:pt>
                <c:pt idx="2">
                  <c:v>859992.62</c:v>
                </c:pt>
                <c:pt idx="3">
                  <c:v>816883.41</c:v>
                </c:pt>
                <c:pt idx="4">
                  <c:v>831121</c:v>
                </c:pt>
                <c:pt idx="5">
                  <c:v>946350.06</c:v>
                </c:pt>
                <c:pt idx="6">
                  <c:v>926955</c:v>
                </c:pt>
                <c:pt idx="7">
                  <c:v>884044</c:v>
                </c:pt>
                <c:pt idx="8">
                  <c:v>881759</c:v>
                </c:pt>
                <c:pt idx="9">
                  <c:v>897184</c:v>
                </c:pt>
                <c:pt idx="10">
                  <c:v>898622</c:v>
                </c:pt>
                <c:pt idx="11">
                  <c:v>931889.7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74688"/>
        <c:axId val="111088768"/>
      </c:lineChart>
      <c:dateAx>
        <c:axId val="1110746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887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088768"/>
        <c:scaling>
          <c:orientation val="minMax"/>
          <c:max val="1000000"/>
          <c:min val="6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74688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9219560242467119E-2"/>
          <c:y val="0.8435577840441828"/>
          <c:w val="0.93449727019317574"/>
          <c:h val="0.1057665335399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Network Fees
FY2014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3036437247195"/>
          <c:y val="0.30106344157989562"/>
          <c:w val="0.8137651821862345"/>
          <c:h val="0.40023728115914958"/>
        </c:manualLayout>
      </c:layout>
      <c:lineChart>
        <c:grouping val="standard"/>
        <c:varyColors val="0"/>
        <c:ser>
          <c:idx val="1"/>
          <c:order val="0"/>
          <c:tx>
            <c:v>PIN Debit 2014</c:v>
          </c:tx>
          <c:spPr>
            <a:ln w="22225">
              <a:solidFill>
                <a:srgbClr val="FF33CC"/>
              </a:solidFill>
            </a:ln>
          </c:spPr>
          <c:marker>
            <c:spPr>
              <a:ln>
                <a:solidFill>
                  <a:srgbClr val="FF33CC"/>
                </a:solidFill>
              </a:ln>
            </c:spPr>
          </c:marker>
          <c:cat>
            <c:numRef>
              <c:f>'FY2014'!$A$76:$A$87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'FY2014'!$C$76:$C$87</c:f>
              <c:numCache>
                <c:formatCode>"$"#,##0</c:formatCode>
                <c:ptCount val="12"/>
                <c:pt idx="0">
                  <c:v>83648.260000000009</c:v>
                </c:pt>
                <c:pt idx="1">
                  <c:v>126958.59000000008</c:v>
                </c:pt>
                <c:pt idx="2">
                  <c:v>94101.420000000158</c:v>
                </c:pt>
                <c:pt idx="3">
                  <c:v>95203.909999999916</c:v>
                </c:pt>
                <c:pt idx="4">
                  <c:v>100924.81000000006</c:v>
                </c:pt>
                <c:pt idx="5">
                  <c:v>99437.919999999809</c:v>
                </c:pt>
                <c:pt idx="6">
                  <c:v>99964.14000000013</c:v>
                </c:pt>
                <c:pt idx="7">
                  <c:v>103713.11999999988</c:v>
                </c:pt>
                <c:pt idx="8">
                  <c:v>95993.869999999763</c:v>
                </c:pt>
                <c:pt idx="9">
                  <c:v>99056.359999999753</c:v>
                </c:pt>
                <c:pt idx="10">
                  <c:v>97156.359999999753</c:v>
                </c:pt>
                <c:pt idx="11">
                  <c:v>96389.009999999776</c:v>
                </c:pt>
              </c:numCache>
            </c:numRef>
          </c:val>
          <c:smooth val="0"/>
        </c:ser>
        <c:ser>
          <c:idx val="2"/>
          <c:order val="1"/>
          <c:tx>
            <c:v>PIN Debit 2013</c:v>
          </c:tx>
          <c:val>
            <c:numRef>
              <c:f>'FY2013'!$C$76:$C$87</c:f>
              <c:numCache>
                <c:formatCode>"$"#,##0</c:formatCode>
                <c:ptCount val="12"/>
                <c:pt idx="0">
                  <c:v>107887.13000000012</c:v>
                </c:pt>
                <c:pt idx="1">
                  <c:v>109647.12999999989</c:v>
                </c:pt>
                <c:pt idx="2">
                  <c:v>108453.56000000006</c:v>
                </c:pt>
                <c:pt idx="3">
                  <c:v>106211.25000000012</c:v>
                </c:pt>
                <c:pt idx="4">
                  <c:v>106347.09999999998</c:v>
                </c:pt>
                <c:pt idx="5">
                  <c:v>117957.71000000008</c:v>
                </c:pt>
                <c:pt idx="6">
                  <c:v>102334.17000000004</c:v>
                </c:pt>
                <c:pt idx="7">
                  <c:v>110128.24000000011</c:v>
                </c:pt>
                <c:pt idx="8">
                  <c:v>97525.160000000033</c:v>
                </c:pt>
                <c:pt idx="9">
                  <c:v>87198.680000000051</c:v>
                </c:pt>
                <c:pt idx="10">
                  <c:v>114822.63999999978</c:v>
                </c:pt>
                <c:pt idx="11">
                  <c:v>89845.10999999987</c:v>
                </c:pt>
              </c:numCache>
            </c:numRef>
          </c:val>
          <c:smooth val="0"/>
        </c:ser>
        <c:ser>
          <c:idx val="0"/>
          <c:order val="2"/>
          <c:tx>
            <c:v>PIN Debit 2012</c:v>
          </c:tx>
          <c:val>
            <c:numRef>
              <c:f>'FY2012'!$C$84:$C$95</c:f>
              <c:numCache>
                <c:formatCode>"$"#,##0</c:formatCode>
                <c:ptCount val="12"/>
                <c:pt idx="0">
                  <c:v>99860.660000000149</c:v>
                </c:pt>
                <c:pt idx="1">
                  <c:v>101172.3600000001</c:v>
                </c:pt>
                <c:pt idx="2">
                  <c:v>104629.99999999988</c:v>
                </c:pt>
                <c:pt idx="3">
                  <c:v>100285.11999999988</c:v>
                </c:pt>
                <c:pt idx="4">
                  <c:v>100876.40999999968</c:v>
                </c:pt>
                <c:pt idx="5">
                  <c:v>109579.30000000005</c:v>
                </c:pt>
                <c:pt idx="6">
                  <c:v>103051.09000000008</c:v>
                </c:pt>
                <c:pt idx="7">
                  <c:v>108115.3600000001</c:v>
                </c:pt>
                <c:pt idx="8">
                  <c:v>105811.02000000014</c:v>
                </c:pt>
                <c:pt idx="9">
                  <c:v>99893.659999999683</c:v>
                </c:pt>
                <c:pt idx="10">
                  <c:v>110094.7899999998</c:v>
                </c:pt>
                <c:pt idx="11">
                  <c:v>104855.79999999993</c:v>
                </c:pt>
              </c:numCache>
            </c:numRef>
          </c:val>
          <c:smooth val="0"/>
        </c:ser>
        <c:ser>
          <c:idx val="3"/>
          <c:order val="3"/>
          <c:tx>
            <c:v>PIN Debit 2011</c:v>
          </c:tx>
          <c:cat>
            <c:numRef>
              <c:f>'FY2014'!$A$76:$A$87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'FY2011'!$C$85:$C$96</c:f>
              <c:numCache>
                <c:formatCode>"$"#,##0</c:formatCode>
                <c:ptCount val="12"/>
                <c:pt idx="4">
                  <c:v>93289.59</c:v>
                </c:pt>
                <c:pt idx="5">
                  <c:v>105591.58999999997</c:v>
                </c:pt>
                <c:pt idx="6">
                  <c:v>100923.86999999997</c:v>
                </c:pt>
                <c:pt idx="7">
                  <c:v>96328.930000000022</c:v>
                </c:pt>
                <c:pt idx="8">
                  <c:v>96117.430000000022</c:v>
                </c:pt>
                <c:pt idx="9">
                  <c:v>97518.270000000077</c:v>
                </c:pt>
                <c:pt idx="10">
                  <c:v>97906.25000000016</c:v>
                </c:pt>
                <c:pt idx="11">
                  <c:v>108733.17999999982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7936"/>
        <c:axId val="111133824"/>
      </c:lineChart>
      <c:dateAx>
        <c:axId val="1111279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133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133824"/>
        <c:scaling>
          <c:orientation val="minMax"/>
          <c:min val="6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127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082886669289502E-2"/>
          <c:y val="0.84349251968503935"/>
          <c:w val="0.98040107450694558"/>
          <c:h val="0.10150748031496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Signature</a:t>
            </a:r>
            <a:r>
              <a:rPr lang="en-US" baseline="0"/>
              <a:t> Debit Transactions</a:t>
            </a:r>
            <a:r>
              <a:rPr lang="en-US"/>
              <a:t>
FY2014 Trend</a:t>
            </a:r>
          </a:p>
        </c:rich>
      </c:tx>
      <c:layout>
        <c:manualLayout>
          <c:xMode val="edge"/>
          <c:yMode val="edge"/>
          <c:x val="0.2969618686619378"/>
          <c:y val="3.6977952755906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0"/>
          <c:order val="0"/>
          <c:tx>
            <c:v>Sig Debit Tran Count 2014</c:v>
          </c:tx>
          <c:spPr>
            <a:ln w="12700"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'FY2014'!$A$93:$A$104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'FY2014'!$B$93:$B$104</c:f>
              <c:numCache>
                <c:formatCode>#,##0</c:formatCode>
                <c:ptCount val="12"/>
                <c:pt idx="0">
                  <c:v>2238270</c:v>
                </c:pt>
                <c:pt idx="1">
                  <c:v>2357475</c:v>
                </c:pt>
                <c:pt idx="2">
                  <c:v>2259951</c:v>
                </c:pt>
                <c:pt idx="3">
                  <c:v>2350622</c:v>
                </c:pt>
                <c:pt idx="4">
                  <c:v>2344240</c:v>
                </c:pt>
                <c:pt idx="5">
                  <c:v>2683176</c:v>
                </c:pt>
                <c:pt idx="6">
                  <c:v>2622812</c:v>
                </c:pt>
                <c:pt idx="7">
                  <c:v>2730720</c:v>
                </c:pt>
                <c:pt idx="8">
                  <c:v>2609899</c:v>
                </c:pt>
                <c:pt idx="9">
                  <c:v>2790258</c:v>
                </c:pt>
                <c:pt idx="10">
                  <c:v>2791990</c:v>
                </c:pt>
                <c:pt idx="11">
                  <c:v>2511687</c:v>
                </c:pt>
              </c:numCache>
            </c:numRef>
          </c:val>
          <c:smooth val="0"/>
        </c:ser>
        <c:ser>
          <c:idx val="3"/>
          <c:order val="1"/>
          <c:tx>
            <c:v>Sig Debit Tran Count 2013</c:v>
          </c:tx>
          <c:val>
            <c:numRef>
              <c:f>'FY2013'!$B$93:$B$104</c:f>
              <c:numCache>
                <c:formatCode>#,##0</c:formatCode>
                <c:ptCount val="12"/>
                <c:pt idx="0">
                  <c:v>2331184</c:v>
                </c:pt>
                <c:pt idx="1">
                  <c:v>2180620</c:v>
                </c:pt>
                <c:pt idx="2">
                  <c:v>2229765</c:v>
                </c:pt>
                <c:pt idx="3">
                  <c:v>2324659</c:v>
                </c:pt>
                <c:pt idx="4">
                  <c:v>2273355</c:v>
                </c:pt>
                <c:pt idx="5">
                  <c:v>2648387</c:v>
                </c:pt>
                <c:pt idx="6">
                  <c:v>2450890</c:v>
                </c:pt>
                <c:pt idx="7">
                  <c:v>2652022</c:v>
                </c:pt>
                <c:pt idx="8">
                  <c:v>2607548</c:v>
                </c:pt>
                <c:pt idx="9">
                  <c:v>2510877</c:v>
                </c:pt>
                <c:pt idx="10">
                  <c:v>2601363</c:v>
                </c:pt>
                <c:pt idx="11">
                  <c:v>2340406</c:v>
                </c:pt>
              </c:numCache>
            </c:numRef>
          </c:val>
          <c:smooth val="0"/>
        </c:ser>
        <c:ser>
          <c:idx val="2"/>
          <c:order val="2"/>
          <c:tx>
            <c:v>Sig Debit Tran Count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'FY2014'!$A$93:$A$104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'FY2012'!$B$101:$B$112</c:f>
              <c:numCache>
                <c:formatCode>#,##0</c:formatCode>
                <c:ptCount val="12"/>
                <c:pt idx="0">
                  <c:v>2335314</c:v>
                </c:pt>
                <c:pt idx="1">
                  <c:v>2226585</c:v>
                </c:pt>
                <c:pt idx="2">
                  <c:v>2361670</c:v>
                </c:pt>
                <c:pt idx="3">
                  <c:v>2286304</c:v>
                </c:pt>
                <c:pt idx="4">
                  <c:v>2422856</c:v>
                </c:pt>
                <c:pt idx="5">
                  <c:v>2660111</c:v>
                </c:pt>
                <c:pt idx="6">
                  <c:v>2407902</c:v>
                </c:pt>
                <c:pt idx="7">
                  <c:v>2559494</c:v>
                </c:pt>
                <c:pt idx="8">
                  <c:v>2566260</c:v>
                </c:pt>
                <c:pt idx="9">
                  <c:v>2417787</c:v>
                </c:pt>
                <c:pt idx="10">
                  <c:v>2589648</c:v>
                </c:pt>
                <c:pt idx="11">
                  <c:v>2359446</c:v>
                </c:pt>
              </c:numCache>
            </c:numRef>
          </c:val>
          <c:smooth val="0"/>
        </c:ser>
        <c:ser>
          <c:idx val="1"/>
          <c:order val="3"/>
          <c:tx>
            <c:v>Sig Debit Tran Count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'FY2014'!$A$93:$A$104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'FY2011'!$B$102:$B$113</c:f>
              <c:numCache>
                <c:formatCode>#,##0</c:formatCode>
                <c:ptCount val="12"/>
                <c:pt idx="0">
                  <c:v>2074161</c:v>
                </c:pt>
                <c:pt idx="1">
                  <c:v>1974976</c:v>
                </c:pt>
                <c:pt idx="2">
                  <c:v>2125799</c:v>
                </c:pt>
                <c:pt idx="3">
                  <c:v>2058669</c:v>
                </c:pt>
                <c:pt idx="4">
                  <c:v>2084273</c:v>
                </c:pt>
                <c:pt idx="5">
                  <c:v>2399589</c:v>
                </c:pt>
                <c:pt idx="6">
                  <c:v>2321494</c:v>
                </c:pt>
                <c:pt idx="7">
                  <c:v>2320821</c:v>
                </c:pt>
                <c:pt idx="8">
                  <c:v>2387014</c:v>
                </c:pt>
                <c:pt idx="9">
                  <c:v>2494889</c:v>
                </c:pt>
                <c:pt idx="10">
                  <c:v>2422838</c:v>
                </c:pt>
                <c:pt idx="11">
                  <c:v>2321746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2608"/>
        <c:axId val="111178880"/>
      </c:lineChart>
      <c:dateAx>
        <c:axId val="1111726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1788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178880"/>
        <c:scaling>
          <c:orientation val="minMax"/>
          <c:max val="3000000"/>
          <c:min val="17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172608"/>
        <c:crosses val="autoZero"/>
        <c:crossBetween val="between"/>
        <c:majorUnit val="25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031933270889671E-2"/>
          <c:y val="0.83665472440945265"/>
          <c:w val="0.94559374612791558"/>
          <c:h val="0.15334527559055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 Cost Per Transaction
FY2014 Trend</a:t>
            </a:r>
          </a:p>
        </c:rich>
      </c:tx>
      <c:layout>
        <c:manualLayout>
          <c:xMode val="edge"/>
          <c:yMode val="edge"/>
          <c:x val="0.31325301204819223"/>
          <c:y val="3.6630074525356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460536442200781"/>
          <c:w val="0.80971659919028338"/>
          <c:h val="0.39315343547491688"/>
        </c:manualLayout>
      </c:layout>
      <c:lineChart>
        <c:grouping val="standard"/>
        <c:varyColors val="0"/>
        <c:ser>
          <c:idx val="1"/>
          <c:order val="0"/>
          <c:tx>
            <c:v>PIN Debit 2014</c:v>
          </c:tx>
          <c:spPr>
            <a:ln w="12700"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cat>
            <c:numRef>
              <c:f>'FY2014'!$A$111:$A$122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'FY2014'!$C$111:$C$122</c:f>
              <c:numCache>
                <c:formatCode>"$"#,##0.00</c:formatCode>
                <c:ptCount val="12"/>
                <c:pt idx="0">
                  <c:v>0.26313708033660427</c:v>
                </c:pt>
                <c:pt idx="1">
                  <c:v>0.25087247469477836</c:v>
                </c:pt>
                <c:pt idx="2">
                  <c:v>0.26569327534301324</c:v>
                </c:pt>
                <c:pt idx="3">
                  <c:v>0.25936000842717266</c:v>
                </c:pt>
                <c:pt idx="4">
                  <c:v>0.25499560667677607</c:v>
                </c:pt>
                <c:pt idx="5">
                  <c:v>0.25308335888416955</c:v>
                </c:pt>
                <c:pt idx="6">
                  <c:v>0.26150744801804932</c:v>
                </c:pt>
                <c:pt idx="7">
                  <c:v>0.26162785706717784</c:v>
                </c:pt>
                <c:pt idx="8">
                  <c:v>0.25088715169649767</c:v>
                </c:pt>
                <c:pt idx="9">
                  <c:v>0.26037346878857881</c:v>
                </c:pt>
                <c:pt idx="10">
                  <c:v>0.24142554144670975</c:v>
                </c:pt>
                <c:pt idx="11">
                  <c:v>0.25379117814349661</c:v>
                </c:pt>
              </c:numCache>
            </c:numRef>
          </c:val>
          <c:smooth val="0"/>
        </c:ser>
        <c:ser>
          <c:idx val="2"/>
          <c:order val="1"/>
          <c:tx>
            <c:v>PIN Debit 2013</c:v>
          </c:tx>
          <c:val>
            <c:numRef>
              <c:f>'FY2013'!$C$111:$C$122</c:f>
              <c:numCache>
                <c:formatCode>"$"#,##0.00</c:formatCode>
                <c:ptCount val="12"/>
                <c:pt idx="0">
                  <c:v>0.25478361122629961</c:v>
                </c:pt>
                <c:pt idx="1">
                  <c:v>0.25993983819894168</c:v>
                </c:pt>
                <c:pt idx="2">
                  <c:v>0.25548100520536632</c:v>
                </c:pt>
                <c:pt idx="3">
                  <c:v>0.2547027941192741</c:v>
                </c:pt>
                <c:pt idx="4">
                  <c:v>0.25628219806324959</c:v>
                </c:pt>
                <c:pt idx="5">
                  <c:v>0.2544229745824621</c:v>
                </c:pt>
                <c:pt idx="6">
                  <c:v>0.25862832040731443</c:v>
                </c:pt>
                <c:pt idx="7">
                  <c:v>0.26122901143797722</c:v>
                </c:pt>
                <c:pt idx="8">
                  <c:v>0.2537336314708864</c:v>
                </c:pt>
                <c:pt idx="9">
                  <c:v>0.2581516573439579</c:v>
                </c:pt>
                <c:pt idx="10">
                  <c:v>0.25925854796607978</c:v>
                </c:pt>
                <c:pt idx="11">
                  <c:v>0.25184819653875296</c:v>
                </c:pt>
              </c:numCache>
            </c:numRef>
          </c:val>
          <c:smooth val="0"/>
        </c:ser>
        <c:ser>
          <c:idx val="0"/>
          <c:order val="2"/>
          <c:tx>
            <c:v>PIN Debit 2012</c:v>
          </c:tx>
          <c:cat>
            <c:numRef>
              <c:f>'FY2014'!$A$111:$A$122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'FY2012'!$C$119:$C$130</c:f>
              <c:numCache>
                <c:formatCode>"$"#,##0.00</c:formatCode>
                <c:ptCount val="12"/>
                <c:pt idx="0">
                  <c:v>0.24899833334566843</c:v>
                </c:pt>
                <c:pt idx="1">
                  <c:v>0.2600791733059849</c:v>
                </c:pt>
                <c:pt idx="2">
                  <c:v>0.26260164110356954</c:v>
                </c:pt>
                <c:pt idx="3">
                  <c:v>0.25332939431671281</c:v>
                </c:pt>
                <c:pt idx="4">
                  <c:v>0.25741409648948466</c:v>
                </c:pt>
                <c:pt idx="5">
                  <c:v>0.26189062778974559</c:v>
                </c:pt>
                <c:pt idx="6">
                  <c:v>0.24997727674462122</c:v>
                </c:pt>
                <c:pt idx="7">
                  <c:v>0.258171809595099</c:v>
                </c:pt>
                <c:pt idx="8">
                  <c:v>0.25924533691109353</c:v>
                </c:pt>
                <c:pt idx="9">
                  <c:v>0.25261059129003161</c:v>
                </c:pt>
                <c:pt idx="10">
                  <c:v>0.2614118228920887</c:v>
                </c:pt>
                <c:pt idx="11">
                  <c:v>0.25289277235981011</c:v>
                </c:pt>
              </c:numCache>
            </c:numRef>
          </c:val>
          <c:smooth val="0"/>
        </c:ser>
        <c:ser>
          <c:idx val="3"/>
          <c:order val="3"/>
          <c:tx>
            <c:v>PIN Debit 2011</c:v>
          </c:tx>
          <c:cat>
            <c:numRef>
              <c:f>'FY2014'!$A$111:$A$122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'FY2011'!$C$120:$C$131</c:f>
              <c:numCache>
                <c:formatCode>"$"#,##0.00</c:formatCode>
                <c:ptCount val="12"/>
                <c:pt idx="0">
                  <c:v>0.31712407672220611</c:v>
                </c:pt>
                <c:pt idx="1">
                  <c:v>0.31385656699957343</c:v>
                </c:pt>
                <c:pt idx="2">
                  <c:v>0.32205758364113191</c:v>
                </c:pt>
                <c:pt idx="3">
                  <c:v>0.30892388382955405</c:v>
                </c:pt>
                <c:pt idx="4">
                  <c:v>0.33535945420629232</c:v>
                </c:pt>
                <c:pt idx="5">
                  <c:v>0.34372345073842336</c:v>
                </c:pt>
                <c:pt idx="6">
                  <c:v>0.33892408499765814</c:v>
                </c:pt>
                <c:pt idx="7">
                  <c:v>0.32136735731763222</c:v>
                </c:pt>
                <c:pt idx="8">
                  <c:v>0.33433699763700947</c:v>
                </c:pt>
                <c:pt idx="9">
                  <c:v>0.33302215572218508</c:v>
                </c:pt>
                <c:pt idx="10">
                  <c:v>0.33265133951261444</c:v>
                </c:pt>
                <c:pt idx="11">
                  <c:v>0.33915954905366197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9856"/>
        <c:axId val="110834816"/>
      </c:lineChart>
      <c:dateAx>
        <c:axId val="1112098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34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0834816"/>
        <c:scaling>
          <c:orientation val="minMax"/>
          <c:max val="0.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09856"/>
        <c:crosses val="autoZero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24448672197769E-2"/>
          <c:y val="0.85271413302478793"/>
          <c:w val="0.9728030216635134"/>
          <c:h val="9.86238613075001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Ticket
FY2014 Trend</a:t>
            </a:r>
          </a:p>
        </c:rich>
      </c:tx>
      <c:layout>
        <c:manualLayout>
          <c:xMode val="edge"/>
          <c:yMode val="edge"/>
          <c:x val="0.30673997071109277"/>
          <c:y val="4.2416130986108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076923076924"/>
          <c:y val="0.30633802816901839"/>
          <c:w val="0.74291497975708498"/>
          <c:h val="0.38732394366197764"/>
        </c:manualLayout>
      </c:layout>
      <c:lineChart>
        <c:grouping val="standard"/>
        <c:varyColors val="0"/>
        <c:ser>
          <c:idx val="1"/>
          <c:order val="0"/>
          <c:tx>
            <c:v>PIN Debit 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'FY2014'!$A$42:$A$53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'FY2014'!$C$42:$C$53</c:f>
              <c:numCache>
                <c:formatCode>"$"#,##0.00</c:formatCode>
                <c:ptCount val="12"/>
                <c:pt idx="0">
                  <c:v>71.60774830387561</c:v>
                </c:pt>
                <c:pt idx="1">
                  <c:v>74.600119805463422</c:v>
                </c:pt>
                <c:pt idx="2">
                  <c:v>74.017556772743347</c:v>
                </c:pt>
                <c:pt idx="3">
                  <c:v>72.293042686077513</c:v>
                </c:pt>
                <c:pt idx="4">
                  <c:v>73.553813085349418</c:v>
                </c:pt>
                <c:pt idx="5">
                  <c:v>72.021816832436855</c:v>
                </c:pt>
                <c:pt idx="6">
                  <c:v>69.869066456700111</c:v>
                </c:pt>
                <c:pt idx="7">
                  <c:v>70.356567823138747</c:v>
                </c:pt>
                <c:pt idx="8">
                  <c:v>69.691644298661885</c:v>
                </c:pt>
                <c:pt idx="9">
                  <c:v>69.640189715378696</c:v>
                </c:pt>
                <c:pt idx="10">
                  <c:v>72.981387964572079</c:v>
                </c:pt>
                <c:pt idx="11">
                  <c:v>69.551011104647444</c:v>
                </c:pt>
              </c:numCache>
            </c:numRef>
          </c:val>
          <c:smooth val="0"/>
        </c:ser>
        <c:ser>
          <c:idx val="2"/>
          <c:order val="1"/>
          <c:tx>
            <c:v>PIN Debit 2013</c:v>
          </c:tx>
          <c:val>
            <c:numRef>
              <c:f>'FY2013'!$C$42:$C$53</c:f>
              <c:numCache>
                <c:formatCode>"$"#,##0.00</c:formatCode>
                <c:ptCount val="12"/>
                <c:pt idx="0">
                  <c:v>71.531331869495034</c:v>
                </c:pt>
                <c:pt idx="1">
                  <c:v>74.151397463108168</c:v>
                </c:pt>
                <c:pt idx="2">
                  <c:v>77.257132373990302</c:v>
                </c:pt>
                <c:pt idx="3">
                  <c:v>71.099697554860896</c:v>
                </c:pt>
                <c:pt idx="4">
                  <c:v>73.923200983222529</c:v>
                </c:pt>
                <c:pt idx="5">
                  <c:v>73.452301340550662</c:v>
                </c:pt>
                <c:pt idx="6">
                  <c:v>69.964863140436705</c:v>
                </c:pt>
                <c:pt idx="7">
                  <c:v>70.138082945474522</c:v>
                </c:pt>
                <c:pt idx="8">
                  <c:v>71.743598556777542</c:v>
                </c:pt>
                <c:pt idx="9">
                  <c:v>73.029976033962313</c:v>
                </c:pt>
                <c:pt idx="10">
                  <c:v>74.527008679529445</c:v>
                </c:pt>
                <c:pt idx="11">
                  <c:v>71.858288281872149</c:v>
                </c:pt>
              </c:numCache>
            </c:numRef>
          </c:val>
          <c:smooth val="0"/>
        </c:ser>
        <c:ser>
          <c:idx val="0"/>
          <c:order val="2"/>
          <c:tx>
            <c:v>PIN Debit 2012</c:v>
          </c:tx>
          <c:cat>
            <c:numRef>
              <c:f>'FY2014'!$A$42:$A$53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'FY2012'!$C$50:$C$61</c:f>
              <c:numCache>
                <c:formatCode>"$"#,##0.00</c:formatCode>
                <c:ptCount val="12"/>
                <c:pt idx="0">
                  <c:v>74.513028556565985</c:v>
                </c:pt>
                <c:pt idx="1">
                  <c:v>75.040252533115918</c:v>
                </c:pt>
                <c:pt idx="2">
                  <c:v>77.628981041699859</c:v>
                </c:pt>
                <c:pt idx="3">
                  <c:v>74.220393747850551</c:v>
                </c:pt>
                <c:pt idx="4">
                  <c:v>75.204442269236168</c:v>
                </c:pt>
                <c:pt idx="5">
                  <c:v>73.442640684940415</c:v>
                </c:pt>
                <c:pt idx="6">
                  <c:v>73.00097182129538</c:v>
                </c:pt>
                <c:pt idx="7">
                  <c:v>71.804025371561394</c:v>
                </c:pt>
                <c:pt idx="8">
                  <c:v>73.065851685756627</c:v>
                </c:pt>
                <c:pt idx="9">
                  <c:v>72.261321238961003</c:v>
                </c:pt>
                <c:pt idx="10">
                  <c:v>71.77786742178931</c:v>
                </c:pt>
                <c:pt idx="11">
                  <c:v>73.932130116771461</c:v>
                </c:pt>
              </c:numCache>
            </c:numRef>
          </c:val>
          <c:smooth val="0"/>
        </c:ser>
        <c:ser>
          <c:idx val="3"/>
          <c:order val="3"/>
          <c:tx>
            <c:v>Pin Debit 2011</c:v>
          </c:tx>
          <c:cat>
            <c:numRef>
              <c:f>'FY2014'!$A$42:$A$53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'FY2011'!$C$51:$C$62</c:f>
              <c:numCache>
                <c:formatCode>"$"#,##0.00</c:formatCode>
                <c:ptCount val="12"/>
                <c:pt idx="0">
                  <c:v>74.694063147862266</c:v>
                </c:pt>
                <c:pt idx="1">
                  <c:v>74.700265331452968</c:v>
                </c:pt>
                <c:pt idx="2">
                  <c:v>76.953366410678626</c:v>
                </c:pt>
                <c:pt idx="3">
                  <c:v>75.075288726223746</c:v>
                </c:pt>
                <c:pt idx="4">
                  <c:v>74.848142617174119</c:v>
                </c:pt>
                <c:pt idx="5">
                  <c:v>73.097539944886577</c:v>
                </c:pt>
                <c:pt idx="6">
                  <c:v>74.291772227570604</c:v>
                </c:pt>
                <c:pt idx="7">
                  <c:v>73.889229022099443</c:v>
                </c:pt>
                <c:pt idx="8">
                  <c:v>72.608130704620123</c:v>
                </c:pt>
                <c:pt idx="9">
                  <c:v>74.974760464383408</c:v>
                </c:pt>
                <c:pt idx="10">
                  <c:v>73.221295087386395</c:v>
                </c:pt>
                <c:pt idx="11">
                  <c:v>74.664125337925867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78080"/>
        <c:axId val="110879872"/>
      </c:lineChart>
      <c:dateAx>
        <c:axId val="1108780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798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0879872"/>
        <c:scaling>
          <c:orientation val="minMax"/>
          <c:max val="80"/>
          <c:min val="6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69696969740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78080"/>
        <c:crosses val="autoZero"/>
        <c:crossBetween val="between"/>
        <c:majorUnit val="2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061695681501462E-2"/>
          <c:y val="0.84970125632559534"/>
          <c:w val="0.9677421235356457"/>
          <c:h val="9.57081729548077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Network Fee Per Transaction
FY2014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607287449494"/>
          <c:y val="0.30106344157989562"/>
          <c:w val="0.81174089068826905"/>
          <c:h val="0.40023728115914958"/>
        </c:manualLayout>
      </c:layout>
      <c:lineChart>
        <c:grouping val="standard"/>
        <c:varyColors val="0"/>
        <c:ser>
          <c:idx val="1"/>
          <c:order val="0"/>
          <c:tx>
            <c:v>PIN Debit 2014</c:v>
          </c:tx>
          <c:spPr>
            <a:ln w="12700"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cat>
            <c:numRef>
              <c:f>'FY2014'!$A$128:$A$139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'FY2014'!$C$128:$C$139</c:f>
              <c:numCache>
                <c:formatCode>"$"#,##0.000</c:formatCode>
                <c:ptCount val="12"/>
                <c:pt idx="0">
                  <c:v>3.0445891448038904E-2</c:v>
                </c:pt>
                <c:pt idx="1">
                  <c:v>3.8960893213560631E-2</c:v>
                </c:pt>
                <c:pt idx="2">
                  <c:v>3.1369116254324078E-2</c:v>
                </c:pt>
                <c:pt idx="3">
                  <c:v>3.0668951925170804E-2</c:v>
                </c:pt>
                <c:pt idx="4">
                  <c:v>3.391168731500583E-2</c:v>
                </c:pt>
                <c:pt idx="5">
                  <c:v>3.0097397870558446E-2</c:v>
                </c:pt>
                <c:pt idx="6">
                  <c:v>3.1712016313437306E-2</c:v>
                </c:pt>
                <c:pt idx="7">
                  <c:v>3.1217377903420739E-2</c:v>
                </c:pt>
                <c:pt idx="8">
                  <c:v>3.0707062467591507E-2</c:v>
                </c:pt>
                <c:pt idx="9">
                  <c:v>3.1853879669203909E-2</c:v>
                </c:pt>
                <c:pt idx="10">
                  <c:v>2.8901459465344542E-2</c:v>
                </c:pt>
                <c:pt idx="11">
                  <c:v>3.118600235927646E-2</c:v>
                </c:pt>
              </c:numCache>
            </c:numRef>
          </c:val>
          <c:smooth val="0"/>
        </c:ser>
        <c:ser>
          <c:idx val="2"/>
          <c:order val="1"/>
          <c:tx>
            <c:v>PIN Debit 2013</c:v>
          </c:tx>
          <c:val>
            <c:numRef>
              <c:f>'FY2013'!$C$128:$C$139</c:f>
              <c:numCache>
                <c:formatCode>"$"#,##0.000</c:formatCode>
                <c:ptCount val="12"/>
                <c:pt idx="0">
                  <c:v>3.4924660237043437E-2</c:v>
                </c:pt>
                <c:pt idx="1">
                  <c:v>3.503222953628124E-2</c:v>
                </c:pt>
                <c:pt idx="2">
                  <c:v>3.4534808001367989E-2</c:v>
                </c:pt>
                <c:pt idx="3">
                  <c:v>3.4563241102860673E-2</c:v>
                </c:pt>
                <c:pt idx="4">
                  <c:v>3.5088209578171131E-2</c:v>
                </c:pt>
                <c:pt idx="5">
                  <c:v>3.4510003150898208E-2</c:v>
                </c:pt>
                <c:pt idx="6">
                  <c:v>3.294305362226839E-2</c:v>
                </c:pt>
                <c:pt idx="7">
                  <c:v>3.3103235169285219E-2</c:v>
                </c:pt>
                <c:pt idx="8">
                  <c:v>3.0696698233616846E-2</c:v>
                </c:pt>
                <c:pt idx="9">
                  <c:v>3.1186492324859462E-2</c:v>
                </c:pt>
                <c:pt idx="10">
                  <c:v>3.646699419088606E-2</c:v>
                </c:pt>
                <c:pt idx="11">
                  <c:v>2.9084935223012785E-2</c:v>
                </c:pt>
              </c:numCache>
            </c:numRef>
          </c:val>
          <c:smooth val="0"/>
        </c:ser>
        <c:ser>
          <c:idx val="0"/>
          <c:order val="2"/>
          <c:tx>
            <c:v>PIN Debit 2012</c:v>
          </c:tx>
          <c:cat>
            <c:numRef>
              <c:f>'FY2014'!$A$128:$A$139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'FY2012'!$C$136:$C$147</c:f>
              <c:numCache>
                <c:formatCode>"$"#,##0.000</c:formatCode>
                <c:ptCount val="12"/>
                <c:pt idx="0">
                  <c:v>3.5194163996107787E-2</c:v>
                </c:pt>
                <c:pt idx="1">
                  <c:v>3.6547658053103262E-2</c:v>
                </c:pt>
                <c:pt idx="2">
                  <c:v>3.6635089924562415E-2</c:v>
                </c:pt>
                <c:pt idx="3">
                  <c:v>3.6152357029197946E-2</c:v>
                </c:pt>
                <c:pt idx="4">
                  <c:v>3.5932402078226171E-2</c:v>
                </c:pt>
                <c:pt idx="5">
                  <c:v>3.6569524422945053E-2</c:v>
                </c:pt>
                <c:pt idx="6">
                  <c:v>3.5647073148542457E-2</c:v>
                </c:pt>
                <c:pt idx="7">
                  <c:v>3.5495024508114141E-2</c:v>
                </c:pt>
                <c:pt idx="8">
                  <c:v>3.5061107000456983E-2</c:v>
                </c:pt>
                <c:pt idx="9">
                  <c:v>3.4092608089641499E-2</c:v>
                </c:pt>
                <c:pt idx="10">
                  <c:v>3.5175054498354681E-2</c:v>
                </c:pt>
                <c:pt idx="11">
                  <c:v>3.3637815988707791E-2</c:v>
                </c:pt>
              </c:numCache>
            </c:numRef>
          </c:val>
          <c:smooth val="0"/>
        </c:ser>
        <c:ser>
          <c:idx val="3"/>
          <c:order val="3"/>
          <c:tx>
            <c:v>PIN Debit 2011</c:v>
          </c:tx>
          <c:cat>
            <c:numRef>
              <c:f>'FY2014'!$A$128:$A$139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'FY2011'!$C$137:$C$148</c:f>
              <c:numCache>
                <c:formatCode>"$"#,##0.00</c:formatCode>
                <c:ptCount val="12"/>
                <c:pt idx="4" formatCode="&quot;$&quot;#,##0.000">
                  <c:v>3.7642588727187475E-2</c:v>
                </c:pt>
                <c:pt idx="5" formatCode="&quot;$&quot;#,##0.000">
                  <c:v>3.8351881843550345E-2</c:v>
                </c:pt>
                <c:pt idx="6" formatCode="&quot;$&quot;#,##0.000">
                  <c:v>3.6900960989662487E-2</c:v>
                </c:pt>
                <c:pt idx="7" formatCode="&quot;$&quot;#,##0.000">
                  <c:v>3.5017458030748683E-2</c:v>
                </c:pt>
                <c:pt idx="8" formatCode="&quot;$&quot;#,##0.000">
                  <c:v>3.6444893635092387E-2</c:v>
                </c:pt>
                <c:pt idx="9" formatCode="&quot;$&quot;#,##0.000">
                  <c:v>3.6197418252775476E-2</c:v>
                </c:pt>
                <c:pt idx="10" formatCode="&quot;$&quot;#,##0.000">
                  <c:v>3.6242875435007108E-2</c:v>
                </c:pt>
                <c:pt idx="11" formatCode="&quot;$&quot;#,##0.000">
                  <c:v>3.9573241657216082E-2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21792"/>
        <c:axId val="111523328"/>
      </c:lineChart>
      <c:dateAx>
        <c:axId val="1115217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233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23328"/>
        <c:scaling>
          <c:orientation val="minMax"/>
          <c:max val="4.0000000000000022E-2"/>
          <c:min val="2.400000000000001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21792"/>
        <c:crosses val="autoZero"/>
        <c:crossBetween val="between"/>
        <c:majorUnit val="2.0000000000000052E-3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1674088649418281E-2"/>
          <c:y val="0.84756456692913351"/>
          <c:w val="0.95188334790461959"/>
          <c:h val="0.11743543307086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Chargebacks 
FY2017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4"/>
          <c:y val="0.30526420389325243"/>
          <c:w val="0.81274979452289953"/>
          <c:h val="0.40701893852432336"/>
        </c:manualLayout>
      </c:layout>
      <c:lineChart>
        <c:grouping val="standard"/>
        <c:varyColors val="0"/>
        <c:ser>
          <c:idx val="4"/>
          <c:order val="0"/>
          <c:tx>
            <c:v>Chargebacks 2015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'FY2015'!$D$183:$D$194</c:f>
              <c:numCache>
                <c:formatCode>0.000%</c:formatCode>
                <c:ptCount val="12"/>
                <c:pt idx="0">
                  <c:v>1.2497390616726873E-4</c:v>
                </c:pt>
                <c:pt idx="1">
                  <c:v>1.0759649630299663E-4</c:v>
                </c:pt>
                <c:pt idx="2">
                  <c:v>1.1024112166822964E-4</c:v>
                </c:pt>
                <c:pt idx="3">
                  <c:v>1.4585993566019109E-4</c:v>
                </c:pt>
                <c:pt idx="4">
                  <c:v>1.0519907245753987E-4</c:v>
                </c:pt>
                <c:pt idx="5">
                  <c:v>9.9374582912791157E-5</c:v>
                </c:pt>
                <c:pt idx="6">
                  <c:v>1.1152391171683766E-4</c:v>
                </c:pt>
                <c:pt idx="7">
                  <c:v>1.0206055144101024E-4</c:v>
                </c:pt>
                <c:pt idx="8">
                  <c:v>1.0968784812305727E-4</c:v>
                </c:pt>
                <c:pt idx="9">
                  <c:v>1.1128850791787818E-4</c:v>
                </c:pt>
                <c:pt idx="10">
                  <c:v>1.0536657141892656E-4</c:v>
                </c:pt>
                <c:pt idx="11">
                  <c:v>1.0522631059634236E-4</c:v>
                </c:pt>
              </c:numCache>
            </c:numRef>
          </c:val>
          <c:smooth val="0"/>
        </c:ser>
        <c:ser>
          <c:idx val="0"/>
          <c:order val="1"/>
          <c:tx>
            <c:v>Chargebacks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'FY2014'!$D$183:$D$194</c:f>
              <c:numCache>
                <c:formatCode>0.000%</c:formatCode>
                <c:ptCount val="12"/>
                <c:pt idx="0">
                  <c:v>1.7077472957276199E-4</c:v>
                </c:pt>
                <c:pt idx="1">
                  <c:v>1.3528368925368712E-4</c:v>
                </c:pt>
                <c:pt idx="2">
                  <c:v>1.1907405226935713E-4</c:v>
                </c:pt>
                <c:pt idx="3">
                  <c:v>1.0923722541124445E-4</c:v>
                </c:pt>
                <c:pt idx="4">
                  <c:v>1.0947163666828604E-4</c:v>
                </c:pt>
                <c:pt idx="5">
                  <c:v>9.6296885688427141E-5</c:v>
                </c:pt>
                <c:pt idx="6">
                  <c:v>9.2512183673466544E-5</c:v>
                </c:pt>
                <c:pt idx="7">
                  <c:v>8.8195643135229119E-5</c:v>
                </c:pt>
                <c:pt idx="8">
                  <c:v>9.3151653611836383E-5</c:v>
                </c:pt>
                <c:pt idx="9">
                  <c:v>9.9315396871056994E-5</c:v>
                </c:pt>
                <c:pt idx="10">
                  <c:v>1.1597803151609475E-4</c:v>
                </c:pt>
                <c:pt idx="11">
                  <c:v>2.0656816106438838E-4</c:v>
                </c:pt>
              </c:numCache>
            </c:numRef>
          </c:val>
          <c:smooth val="0"/>
        </c:ser>
        <c:ser>
          <c:idx val="3"/>
          <c:order val="2"/>
          <c:tx>
            <c:v>Chargebacks 2013</c:v>
          </c:tx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'FY2013'!$D$183:$D$194</c:f>
              <c:numCache>
                <c:formatCode>0.000%</c:formatCode>
                <c:ptCount val="12"/>
                <c:pt idx="0">
                  <c:v>1.0486307296439755E-4</c:v>
                </c:pt>
                <c:pt idx="1">
                  <c:v>1.1107161148028074E-4</c:v>
                </c:pt>
                <c:pt idx="2">
                  <c:v>9.0064904618031169E-5</c:v>
                </c:pt>
                <c:pt idx="3">
                  <c:v>8.6362032476852056E-5</c:v>
                </c:pt>
                <c:pt idx="4">
                  <c:v>8.5418208369506031E-5</c:v>
                </c:pt>
                <c:pt idx="5">
                  <c:v>9.1691430245138399E-5</c:v>
                </c:pt>
                <c:pt idx="6">
                  <c:v>9.9027995214247071E-5</c:v>
                </c:pt>
                <c:pt idx="7">
                  <c:v>1.0155601781582713E-4</c:v>
                </c:pt>
                <c:pt idx="8">
                  <c:v>1.1214973061774022E-4</c:v>
                </c:pt>
                <c:pt idx="9">
                  <c:v>1.1377484896033255E-4</c:v>
                </c:pt>
                <c:pt idx="10">
                  <c:v>1.1682588671825058E-4</c:v>
                </c:pt>
                <c:pt idx="11">
                  <c:v>1.1082111627398018E-4</c:v>
                </c:pt>
              </c:numCache>
            </c:numRef>
          </c:val>
          <c:smooth val="0"/>
        </c:ser>
        <c:ser>
          <c:idx val="2"/>
          <c:order val="3"/>
          <c:tx>
            <c:v>Chargebacks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'FY2012'!$D$191:$D$202</c:f>
              <c:numCache>
                <c:formatCode>0.000%</c:formatCode>
                <c:ptCount val="12"/>
                <c:pt idx="0">
                  <c:v>1.2299111042949598E-4</c:v>
                </c:pt>
                <c:pt idx="1">
                  <c:v>1.124799688992886E-4</c:v>
                </c:pt>
                <c:pt idx="2">
                  <c:v>1.0035105976800997E-4</c:v>
                </c:pt>
                <c:pt idx="3">
                  <c:v>9.4190644560566099E-5</c:v>
                </c:pt>
                <c:pt idx="4">
                  <c:v>1.1136247834505249E-4</c:v>
                </c:pt>
                <c:pt idx="5">
                  <c:v>1.0418383443599463E-4</c:v>
                </c:pt>
                <c:pt idx="6">
                  <c:v>9.0401985420540391E-5</c:v>
                </c:pt>
                <c:pt idx="7">
                  <c:v>1.0284910383535328E-4</c:v>
                </c:pt>
                <c:pt idx="8">
                  <c:v>9.6117283320869005E-5</c:v>
                </c:pt>
                <c:pt idx="9">
                  <c:v>9.8105899249097166E-5</c:v>
                </c:pt>
                <c:pt idx="10">
                  <c:v>1.181089282466441E-4</c:v>
                </c:pt>
                <c:pt idx="11">
                  <c:v>1.2147606992415002E-4</c:v>
                </c:pt>
              </c:numCache>
            </c:numRef>
          </c:val>
          <c:smooth val="0"/>
        </c:ser>
        <c:ser>
          <c:idx val="1"/>
          <c:order val="4"/>
          <c:tx>
            <c:v>Chargebacks 2011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Instructions!$A$23:$A$34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'FY2011'!$D$192:$D$203</c:f>
              <c:numCache>
                <c:formatCode>0.000%</c:formatCode>
                <c:ptCount val="12"/>
                <c:pt idx="0">
                  <c:v>1.6668182511647556E-4</c:v>
                </c:pt>
                <c:pt idx="1">
                  <c:v>1.3219643123358457E-4</c:v>
                </c:pt>
                <c:pt idx="2">
                  <c:v>1.2416271732553868E-4</c:v>
                </c:pt>
                <c:pt idx="3">
                  <c:v>1.1326532420463537E-4</c:v>
                </c:pt>
                <c:pt idx="4">
                  <c:v>1.0444869855289592E-4</c:v>
                </c:pt>
                <c:pt idx="5">
                  <c:v>1.3526780912647524E-4</c:v>
                </c:pt>
                <c:pt idx="6">
                  <c:v>1.2337250423960215E-4</c:v>
                </c:pt>
                <c:pt idx="7">
                  <c:v>1.0634645098525457E-4</c:v>
                </c:pt>
                <c:pt idx="8">
                  <c:v>1.1341538476629074E-4</c:v>
                </c:pt>
                <c:pt idx="9">
                  <c:v>9.8881225391062833E-5</c:v>
                </c:pt>
                <c:pt idx="10">
                  <c:v>1.2891403245224322E-4</c:v>
                </c:pt>
                <c:pt idx="11">
                  <c:v>1.0362123951339337E-4</c:v>
                </c:pt>
              </c:numCache>
            </c:numRef>
          </c:val>
          <c:smooth val="0"/>
        </c:ser>
        <c:ser>
          <c:idx val="5"/>
          <c:order val="5"/>
          <c:tx>
            <c:v>Chargebacks 2016</c:v>
          </c:tx>
          <c:val>
            <c:numRef>
              <c:f>'FY2016'!$D$215:$D$226</c:f>
              <c:numCache>
                <c:formatCode>0.000%</c:formatCode>
                <c:ptCount val="12"/>
                <c:pt idx="0">
                  <c:v>9.2476046807267752E-5</c:v>
                </c:pt>
                <c:pt idx="1">
                  <c:v>9.670039105278883E-5</c:v>
                </c:pt>
                <c:pt idx="2">
                  <c:v>1.0117303902050085E-4</c:v>
                </c:pt>
                <c:pt idx="3">
                  <c:v>1.0424274920289645E-4</c:v>
                </c:pt>
                <c:pt idx="4">
                  <c:v>1.1351155333492003E-4</c:v>
                </c:pt>
                <c:pt idx="5">
                  <c:v>1.0683135192359809E-4</c:v>
                </c:pt>
                <c:pt idx="6">
                  <c:v>8.8359606994313508E-5</c:v>
                </c:pt>
                <c:pt idx="7">
                  <c:v>9.9414919923847934E-5</c:v>
                </c:pt>
                <c:pt idx="8">
                  <c:v>1.1162784287806897E-4</c:v>
                </c:pt>
                <c:pt idx="9">
                  <c:v>1.1121623803032366E-4</c:v>
                </c:pt>
                <c:pt idx="10">
                  <c:v>1.2238169730335199E-4</c:v>
                </c:pt>
                <c:pt idx="11">
                  <c:v>1.1543406476516999E-4</c:v>
                </c:pt>
              </c:numCache>
            </c:numRef>
          </c:val>
          <c:smooth val="0"/>
        </c:ser>
        <c:ser>
          <c:idx val="6"/>
          <c:order val="6"/>
          <c:tx>
            <c:v>Chargebacks 2017</c:v>
          </c:tx>
          <c:val>
            <c:numRef>
              <c:f>'FY2017'!$D$215:$D$226</c:f>
              <c:numCache>
                <c:formatCode>0.000%</c:formatCode>
                <c:ptCount val="12"/>
                <c:pt idx="0">
                  <c:v>1.1779067388481744E-4</c:v>
                </c:pt>
                <c:pt idx="1">
                  <c:v>1.4145740108506625E-4</c:v>
                </c:pt>
                <c:pt idx="2">
                  <c:v>1.2859727075091422E-4</c:v>
                </c:pt>
                <c:pt idx="3">
                  <c:v>1.1293242145309236E-4</c:v>
                </c:pt>
                <c:pt idx="4">
                  <c:v>1.0175215575445268E-4</c:v>
                </c:pt>
                <c:pt idx="5">
                  <c:v>1.0748336299629698E-4</c:v>
                </c:pt>
                <c:pt idx="6">
                  <c:v>1.1459102995834578E-4</c:v>
                </c:pt>
                <c:pt idx="7">
                  <c:v>1.0096377441255732E-4</c:v>
                </c:pt>
                <c:pt idx="8">
                  <c:v>1.0865412587755731E-4</c:v>
                </c:pt>
                <c:pt idx="9">
                  <c:v>1.0817183687141596E-4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67584"/>
        <c:axId val="79669120"/>
      </c:lineChart>
      <c:dateAx>
        <c:axId val="796675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691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9669120"/>
        <c:scaling>
          <c:orientation val="minMax"/>
          <c:max val="1.8000000000000297E-4"/>
          <c:min val="6.0000000000001106E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67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76901351124706E-2"/>
          <c:y val="0.86223130499694056"/>
          <c:w val="0.89403211663076665"/>
          <c:h val="0.13776883728949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landscape" horizontalDpi="-3" verticalDpi="120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PCI Assist
FY2014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27"/>
          <c:y val="0.30526420389325265"/>
          <c:w val="0.81274979452289986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v>Compliant Agencies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'FY2014'!$A$223:$A$234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'FY2014'!$D$223:$D$234</c:f>
              <c:numCache>
                <c:formatCode>#,##0</c:formatCode>
                <c:ptCount val="12"/>
                <c:pt idx="0">
                  <c:v>269</c:v>
                </c:pt>
                <c:pt idx="1">
                  <c:v>270</c:v>
                </c:pt>
                <c:pt idx="2">
                  <c:v>269</c:v>
                </c:pt>
                <c:pt idx="3">
                  <c:v>268</c:v>
                </c:pt>
                <c:pt idx="4">
                  <c:v>276</c:v>
                </c:pt>
                <c:pt idx="5">
                  <c:v>274</c:v>
                </c:pt>
                <c:pt idx="6">
                  <c:v>280</c:v>
                </c:pt>
                <c:pt idx="7">
                  <c:v>287</c:v>
                </c:pt>
                <c:pt idx="8">
                  <c:v>287</c:v>
                </c:pt>
                <c:pt idx="9">
                  <c:v>285</c:v>
                </c:pt>
                <c:pt idx="10">
                  <c:v>285</c:v>
                </c:pt>
                <c:pt idx="11">
                  <c:v>277</c:v>
                </c:pt>
              </c:numCache>
            </c:numRef>
          </c:val>
          <c:smooth val="0"/>
        </c:ser>
        <c:ser>
          <c:idx val="2"/>
          <c:order val="1"/>
          <c:tx>
            <c:v>Compliant Agencies 2013</c:v>
          </c:tx>
          <c:val>
            <c:numRef>
              <c:f>'FY2013'!$D$223:$D$234</c:f>
              <c:numCache>
                <c:formatCode>#,##0</c:formatCode>
                <c:ptCount val="12"/>
                <c:pt idx="0">
                  <c:v>224</c:v>
                </c:pt>
                <c:pt idx="1">
                  <c:v>240</c:v>
                </c:pt>
                <c:pt idx="2">
                  <c:v>243</c:v>
                </c:pt>
                <c:pt idx="3">
                  <c:v>240</c:v>
                </c:pt>
                <c:pt idx="4">
                  <c:v>240</c:v>
                </c:pt>
                <c:pt idx="5">
                  <c:v>248</c:v>
                </c:pt>
                <c:pt idx="6">
                  <c:v>249</c:v>
                </c:pt>
                <c:pt idx="7">
                  <c:v>256</c:v>
                </c:pt>
                <c:pt idx="8">
                  <c:v>268</c:v>
                </c:pt>
                <c:pt idx="9">
                  <c:v>274</c:v>
                </c:pt>
                <c:pt idx="10">
                  <c:v>276</c:v>
                </c:pt>
                <c:pt idx="11">
                  <c:v>275</c:v>
                </c:pt>
              </c:numCache>
            </c:numRef>
          </c:val>
          <c:smooth val="0"/>
        </c:ser>
        <c:ser>
          <c:idx val="1"/>
          <c:order val="2"/>
          <c:tx>
            <c:v>Compliant Agencies 2012</c:v>
          </c:tx>
          <c:marker>
            <c:symbol val="square"/>
            <c:size val="5"/>
          </c:marker>
          <c:cat>
            <c:numRef>
              <c:f>'FY2014'!$A$223:$A$234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'FY2012'!$D$211:$D$222</c:f>
              <c:numCache>
                <c:formatCode>#,##0</c:formatCode>
                <c:ptCount val="12"/>
                <c:pt idx="0">
                  <c:v>14</c:v>
                </c:pt>
                <c:pt idx="1">
                  <c:v>27</c:v>
                </c:pt>
                <c:pt idx="2">
                  <c:v>38</c:v>
                </c:pt>
                <c:pt idx="3">
                  <c:v>48</c:v>
                </c:pt>
                <c:pt idx="4">
                  <c:v>66</c:v>
                </c:pt>
                <c:pt idx="5">
                  <c:v>125</c:v>
                </c:pt>
                <c:pt idx="6">
                  <c:v>173</c:v>
                </c:pt>
                <c:pt idx="7">
                  <c:v>178</c:v>
                </c:pt>
                <c:pt idx="8">
                  <c:v>197</c:v>
                </c:pt>
                <c:pt idx="9">
                  <c:v>197</c:v>
                </c:pt>
                <c:pt idx="10">
                  <c:v>206</c:v>
                </c:pt>
                <c:pt idx="11">
                  <c:v>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45344"/>
        <c:axId val="111547136"/>
      </c:lineChart>
      <c:dateAx>
        <c:axId val="1115453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471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4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45344"/>
        <c:crosses val="autoZero"/>
        <c:crossBetween val="between"/>
        <c:maj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159122914133277E-2"/>
          <c:y val="0.86223140714640334"/>
          <c:w val="0.86071946994539761"/>
          <c:h val="6.21903450187538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landscape" horizontalDpi="-3" verticalDpi="1200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Mobile Device Sales Volume
FY2014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36"/>
          <c:y val="0.30526420389325304"/>
          <c:w val="0.81274979452290042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v>Mobile Sales 2014</c:v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'FY2014'!$A$203:$A$214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'FY2014'!$D$203:$D$214</c:f>
              <c:numCache>
                <c:formatCode>"$"#,##0</c:formatCode>
                <c:ptCount val="12"/>
                <c:pt idx="0">
                  <c:v>275</c:v>
                </c:pt>
                <c:pt idx="1">
                  <c:v>287</c:v>
                </c:pt>
                <c:pt idx="2">
                  <c:v>0</c:v>
                </c:pt>
                <c:pt idx="3">
                  <c:v>1176.94</c:v>
                </c:pt>
                <c:pt idx="4">
                  <c:v>1175</c:v>
                </c:pt>
                <c:pt idx="5">
                  <c:v>5308.5</c:v>
                </c:pt>
                <c:pt idx="6">
                  <c:v>0</c:v>
                </c:pt>
                <c:pt idx="7">
                  <c:v>377.75</c:v>
                </c:pt>
                <c:pt idx="8">
                  <c:v>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Mobile Sales 2013</c:v>
          </c:tx>
          <c:spPr>
            <a:ln>
              <a:solidFill>
                <a:schemeClr val="accent4"/>
              </a:solidFill>
            </a:ln>
          </c:spPr>
          <c:marker>
            <c:symbol val="x"/>
            <c:size val="7"/>
            <c:spPr>
              <a:noFill/>
              <a:ln>
                <a:solidFill>
                  <a:schemeClr val="accent4"/>
                </a:solidFill>
              </a:ln>
            </c:spPr>
          </c:marker>
          <c:val>
            <c:numRef>
              <c:f>'FY2013'!$D$203:$D$214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167</c:v>
                </c:pt>
                <c:pt idx="7">
                  <c:v>751</c:v>
                </c:pt>
                <c:pt idx="8">
                  <c:v>2</c:v>
                </c:pt>
                <c:pt idx="9">
                  <c:v>492.5</c:v>
                </c:pt>
                <c:pt idx="10">
                  <c:v>200</c:v>
                </c:pt>
                <c:pt idx="11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88480"/>
        <c:axId val="111590400"/>
      </c:lineChart>
      <c:dateAx>
        <c:axId val="1115884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904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9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88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3389695220943"/>
          <c:y val="0.86223140714640389"/>
          <c:w val="0.45770500301539813"/>
          <c:h val="0.12722668495471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 horizontalDpi="-3" verticalDpi="1200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Level 1, 2,</a:t>
            </a:r>
            <a:r>
              <a:rPr lang="en-US" baseline="0"/>
              <a:t> and 3 PCI Compliance</a:t>
            </a:r>
            <a:r>
              <a:rPr lang="en-US"/>
              <a:t>
FY2014 Trend</a:t>
            </a:r>
          </a:p>
        </c:rich>
      </c:tx>
      <c:layout>
        <c:manualLayout>
          <c:xMode val="edge"/>
          <c:yMode val="edge"/>
          <c:x val="0.38873912059581467"/>
          <c:y val="3.859659842561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060962265183"/>
          <c:y val="0.30526420389325287"/>
          <c:w val="0.81274979452290019"/>
          <c:h val="0.40701893852432336"/>
        </c:manualLayout>
      </c:layout>
      <c:lineChart>
        <c:grouping val="standard"/>
        <c:varyColors val="0"/>
        <c:ser>
          <c:idx val="0"/>
          <c:order val="0"/>
          <c:tx>
            <c:strRef>
              <c:f>'FY2014'!$D$238</c:f>
              <c:strCache>
                <c:ptCount val="1"/>
                <c:pt idx="0">
                  <c:v>Level 1 % Compliant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'FY2014'!$A$239:$A$250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'FY2014'!$D$239:$D$250</c:f>
              <c:numCache>
                <c:formatCode>0%</c:formatCode>
                <c:ptCount val="1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'FY2014'!$H$238</c:f>
              <c:strCache>
                <c:ptCount val="1"/>
                <c:pt idx="0">
                  <c:v>Level 2 % Compliant </c:v>
                </c:pt>
              </c:strCache>
            </c:strRef>
          </c:tx>
          <c:cat>
            <c:numRef>
              <c:f>'FY2014'!$A$239:$A$250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'FY2014'!$H$239:$H$250</c:f>
              <c:numCache>
                <c:formatCode>0%</c:formatCode>
                <c:ptCount val="12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'FY2014'!$K$238</c:f>
              <c:strCache>
                <c:ptCount val="1"/>
                <c:pt idx="0">
                  <c:v>Level 3 % Compliant </c:v>
                </c:pt>
              </c:strCache>
            </c:strRef>
          </c:tx>
          <c:cat>
            <c:numRef>
              <c:f>'FY2014'!$A$239:$A$250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'FY2014'!$K$239:$K$250</c:f>
              <c:numCache>
                <c:formatCode>0%</c:formatCode>
                <c:ptCount val="12"/>
                <c:pt idx="0">
                  <c:v>0.8571428571428571</c:v>
                </c:pt>
                <c:pt idx="1">
                  <c:v>0.7857142857142857</c:v>
                </c:pt>
                <c:pt idx="2">
                  <c:v>0.7857142857142857</c:v>
                </c:pt>
                <c:pt idx="3">
                  <c:v>0.8214285714285714</c:v>
                </c:pt>
                <c:pt idx="4">
                  <c:v>0.7142857142857143</c:v>
                </c:pt>
                <c:pt idx="5">
                  <c:v>0.6785714285714286</c:v>
                </c:pt>
                <c:pt idx="6">
                  <c:v>0.6785714285714286</c:v>
                </c:pt>
                <c:pt idx="7">
                  <c:v>0.6785714285714286</c:v>
                </c:pt>
                <c:pt idx="8">
                  <c:v>0.6785714285714286</c:v>
                </c:pt>
                <c:pt idx="9">
                  <c:v>0.75</c:v>
                </c:pt>
                <c:pt idx="10">
                  <c:v>0.7857142857142857</c:v>
                </c:pt>
                <c:pt idx="11">
                  <c:v>0.7857142857142857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0864"/>
        <c:axId val="111622400"/>
      </c:lineChart>
      <c:dateAx>
        <c:axId val="1116208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6224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622400"/>
        <c:scaling>
          <c:orientation val="minMax"/>
          <c:max val="1"/>
          <c:min val="0.3000000000000003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620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38582677165317"/>
          <c:y val="0.86223140714640356"/>
          <c:w val="0.66472267543134056"/>
          <c:h val="8.4044494438195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66" r="0.75000000000001166" t="1" header="0.5" footer="0.5"/>
    <c:pageSetup orientation="landscape" horizontalDpi="-3" verticalDpi="1200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Average Ticket
FY2013 Trend</a:t>
            </a:r>
          </a:p>
        </c:rich>
      </c:tx>
      <c:layout>
        <c:manualLayout>
          <c:xMode val="edge"/>
          <c:yMode val="edge"/>
          <c:x val="0.40236973463607251"/>
          <c:y val="4.24161309861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076923076924"/>
          <c:y val="0.30633802816901812"/>
          <c:w val="0.74291497975708498"/>
          <c:h val="0.38732394366197737"/>
        </c:manualLayout>
      </c:layout>
      <c:lineChart>
        <c:grouping val="standard"/>
        <c:varyColors val="0"/>
        <c:ser>
          <c:idx val="0"/>
          <c:order val="0"/>
          <c:tx>
            <c:v>Credit 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'FY2013'!$A$42:$A$53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'FY2013'!$B$42:$B$53</c:f>
              <c:numCache>
                <c:formatCode>"$"#,##0.00</c:formatCode>
                <c:ptCount val="12"/>
                <c:pt idx="0">
                  <c:v>108.73950024273563</c:v>
                </c:pt>
                <c:pt idx="1">
                  <c:v>109.75460323633641</c:v>
                </c:pt>
                <c:pt idx="2">
                  <c:v>112.83830492231093</c:v>
                </c:pt>
                <c:pt idx="3">
                  <c:v>108.13076362160129</c:v>
                </c:pt>
                <c:pt idx="4">
                  <c:v>104.00862529742373</c:v>
                </c:pt>
                <c:pt idx="5">
                  <c:v>103.7889000892815</c:v>
                </c:pt>
                <c:pt idx="6">
                  <c:v>101.77304704039832</c:v>
                </c:pt>
                <c:pt idx="7">
                  <c:v>107.4334113771756</c:v>
                </c:pt>
                <c:pt idx="8">
                  <c:v>105.27192882490488</c:v>
                </c:pt>
                <c:pt idx="9">
                  <c:v>107.33458130784473</c:v>
                </c:pt>
                <c:pt idx="10">
                  <c:v>109.20263289537816</c:v>
                </c:pt>
                <c:pt idx="11">
                  <c:v>110.51389658049433</c:v>
                </c:pt>
              </c:numCache>
            </c:numRef>
          </c:val>
          <c:smooth val="0"/>
        </c:ser>
        <c:ser>
          <c:idx val="1"/>
          <c:order val="1"/>
          <c:tx>
            <c:v>Credit 2012</c:v>
          </c:tx>
          <c:marker>
            <c:symbol val="square"/>
            <c:size val="5"/>
          </c:marker>
          <c:cat>
            <c:numRef>
              <c:f>'FY2013'!$A$42:$A$53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'FY2012'!$B$50:$B$61</c:f>
              <c:numCache>
                <c:formatCode>"$"#,##0.00</c:formatCode>
                <c:ptCount val="12"/>
                <c:pt idx="0">
                  <c:v>104.87587176416146</c:v>
                </c:pt>
                <c:pt idx="1">
                  <c:v>109.2566506558461</c:v>
                </c:pt>
                <c:pt idx="2">
                  <c:v>110.95790560242735</c:v>
                </c:pt>
                <c:pt idx="3">
                  <c:v>102.89695577184769</c:v>
                </c:pt>
                <c:pt idx="4">
                  <c:v>102.1088657087537</c:v>
                </c:pt>
                <c:pt idx="5">
                  <c:v>101.74116735632047</c:v>
                </c:pt>
                <c:pt idx="6">
                  <c:v>100.43686669052492</c:v>
                </c:pt>
                <c:pt idx="7">
                  <c:v>101.44484342424789</c:v>
                </c:pt>
                <c:pt idx="8">
                  <c:v>104.31766663771906</c:v>
                </c:pt>
                <c:pt idx="9">
                  <c:v>101.48431555141299</c:v>
                </c:pt>
                <c:pt idx="10">
                  <c:v>106.13461639796768</c:v>
                </c:pt>
                <c:pt idx="11">
                  <c:v>108.00339959458545</c:v>
                </c:pt>
              </c:numCache>
            </c:numRef>
          </c:val>
          <c:smooth val="0"/>
        </c:ser>
        <c:ser>
          <c:idx val="2"/>
          <c:order val="2"/>
          <c:tx>
            <c:v>Credit 2011</c:v>
          </c:tx>
          <c:cat>
            <c:numRef>
              <c:f>'FY2013'!$A$42:$A$53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'FY2011'!$B$51:$B$62</c:f>
              <c:numCache>
                <c:formatCode>"$"#,##0.00</c:formatCode>
                <c:ptCount val="12"/>
                <c:pt idx="0">
                  <c:v>117.94980015050862</c:v>
                </c:pt>
                <c:pt idx="1">
                  <c:v>108.14084366073983</c:v>
                </c:pt>
                <c:pt idx="2">
                  <c:v>116.75032527006751</c:v>
                </c:pt>
                <c:pt idx="3">
                  <c:v>104.64912960165499</c:v>
                </c:pt>
                <c:pt idx="4">
                  <c:v>103.17269576832263</c:v>
                </c:pt>
                <c:pt idx="5">
                  <c:v>103.34002475839274</c:v>
                </c:pt>
                <c:pt idx="6">
                  <c:v>108.58253865644565</c:v>
                </c:pt>
                <c:pt idx="7">
                  <c:v>107.75404068824753</c:v>
                </c:pt>
                <c:pt idx="8">
                  <c:v>109.49560837238501</c:v>
                </c:pt>
                <c:pt idx="9">
                  <c:v>106.39337916436747</c:v>
                </c:pt>
                <c:pt idx="10">
                  <c:v>103.10412311822802</c:v>
                </c:pt>
                <c:pt idx="11">
                  <c:v>107.68393004049138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35168"/>
        <c:axId val="111736704"/>
      </c:lineChart>
      <c:dateAx>
        <c:axId val="1117351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367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736704"/>
        <c:scaling>
          <c:orientation val="minMax"/>
          <c:max val="12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3.2193158953722351E-2"/>
              <c:y val="0.3632969696969738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35168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402502446126306"/>
          <c:y val="0.85466403548191761"/>
          <c:w val="0.74176988883957884"/>
          <c:h val="9.57081729548077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Sales Dollars
FY2013 Trend</a:t>
            </a:r>
          </a:p>
        </c:rich>
      </c:tx>
      <c:layout>
        <c:manualLayout>
          <c:xMode val="edge"/>
          <c:yMode val="edge"/>
          <c:x val="0.3140000000000036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0000000000041"/>
          <c:y val="0.320896107043111"/>
          <c:w val="0.72200000000000064"/>
          <c:h val="0.37313500818966272"/>
        </c:manualLayout>
      </c:layout>
      <c:lineChart>
        <c:grouping val="standard"/>
        <c:varyColors val="0"/>
        <c:ser>
          <c:idx val="0"/>
          <c:order val="0"/>
          <c:tx>
            <c:v>Credit 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'FY2013'!$A$9:$A$20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'FY2013'!$B$9:$B$20</c:f>
              <c:numCache>
                <c:formatCode>_("$"* #,##0_);_("$"* \(#,##0\);_("$"* "-"??_);_(@_)</c:formatCode>
                <c:ptCount val="12"/>
                <c:pt idx="0">
                  <c:v>680250064.61000001</c:v>
                </c:pt>
                <c:pt idx="1">
                  <c:v>650197903.55999994</c:v>
                </c:pt>
                <c:pt idx="2">
                  <c:v>662760523.16999996</c:v>
                </c:pt>
                <c:pt idx="3">
                  <c:v>686130893</c:v>
                </c:pt>
                <c:pt idx="4">
                  <c:v>633172788.17999995</c:v>
                </c:pt>
                <c:pt idx="5">
                  <c:v>727835334</c:v>
                </c:pt>
                <c:pt idx="6">
                  <c:v>678295172</c:v>
                </c:pt>
                <c:pt idx="7">
                  <c:v>777536960</c:v>
                </c:pt>
                <c:pt idx="8">
                  <c:v>755631799</c:v>
                </c:pt>
                <c:pt idx="9">
                  <c:v>754715702.38</c:v>
                </c:pt>
                <c:pt idx="10">
                  <c:v>782383137</c:v>
                </c:pt>
                <c:pt idx="11">
                  <c:v>713017868</c:v>
                </c:pt>
              </c:numCache>
            </c:numRef>
          </c:val>
          <c:smooth val="0"/>
        </c:ser>
        <c:ser>
          <c:idx val="1"/>
          <c:order val="1"/>
          <c:tx>
            <c:v>Credit 2012</c:v>
          </c:tx>
          <c:marker>
            <c:symbol val="square"/>
            <c:size val="5"/>
          </c:marker>
          <c:cat>
            <c:numRef>
              <c:f>'FY2013'!$A$9:$A$20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'FY2012'!$B$17:$B$28</c:f>
              <c:numCache>
                <c:formatCode>_("$"* #,##0_);_("$"* \(#,##0\);_("$"* "-"??_);_(@_)</c:formatCode>
                <c:ptCount val="12"/>
                <c:pt idx="0">
                  <c:v>628448001</c:v>
                </c:pt>
                <c:pt idx="1">
                  <c:v>621659635.08000004</c:v>
                </c:pt>
                <c:pt idx="2">
                  <c:v>656784254</c:v>
                </c:pt>
                <c:pt idx="3">
                  <c:v>610669972</c:v>
                </c:pt>
                <c:pt idx="4">
                  <c:v>626246437</c:v>
                </c:pt>
                <c:pt idx="5">
                  <c:v>691400416.17999995</c:v>
                </c:pt>
                <c:pt idx="6">
                  <c:v>645492676.69000006</c:v>
                </c:pt>
                <c:pt idx="7">
                  <c:v>718060180</c:v>
                </c:pt>
                <c:pt idx="8">
                  <c:v>742356437</c:v>
                </c:pt>
                <c:pt idx="9">
                  <c:v>710657823</c:v>
                </c:pt>
                <c:pt idx="10">
                  <c:v>753939134.65999997</c:v>
                </c:pt>
                <c:pt idx="11">
                  <c:v>684600825</c:v>
                </c:pt>
              </c:numCache>
            </c:numRef>
          </c:val>
          <c:smooth val="0"/>
        </c:ser>
        <c:ser>
          <c:idx val="2"/>
          <c:order val="2"/>
          <c:tx>
            <c:v>Credit 2011</c:v>
          </c:tx>
          <c:cat>
            <c:numRef>
              <c:f>'FY2013'!$A$9:$A$20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'FY2011'!$B$18:$B$29</c:f>
              <c:numCache>
                <c:formatCode>_("$"* #,##0_);_("$"* \(#,##0\);_("$"* "-"??_);_(@_)</c:formatCode>
                <c:ptCount val="12"/>
                <c:pt idx="0">
                  <c:v>643239706.91999936</c:v>
                </c:pt>
                <c:pt idx="1">
                  <c:v>563623696.85000002</c:v>
                </c:pt>
                <c:pt idx="2">
                  <c:v>644106174</c:v>
                </c:pt>
                <c:pt idx="3">
                  <c:v>572836045</c:v>
                </c:pt>
                <c:pt idx="4">
                  <c:v>568963267</c:v>
                </c:pt>
                <c:pt idx="5">
                  <c:v>660066737</c:v>
                </c:pt>
                <c:pt idx="6">
                  <c:v>664490173</c:v>
                </c:pt>
                <c:pt idx="7">
                  <c:v>677854809</c:v>
                </c:pt>
                <c:pt idx="8">
                  <c:v>714424682</c:v>
                </c:pt>
                <c:pt idx="9">
                  <c:v>728432697</c:v>
                </c:pt>
                <c:pt idx="10">
                  <c:v>677421927</c:v>
                </c:pt>
                <c:pt idx="11">
                  <c:v>667170972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08800"/>
        <c:axId val="111310336"/>
      </c:lineChart>
      <c:dateAx>
        <c:axId val="1113088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103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310336"/>
        <c:scaling>
          <c:orientation val="minMax"/>
          <c:min val="550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6.3590232285929823E-3"/>
              <c:y val="0.48880676402083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08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42282692870318"/>
          <c:y val="0.86046694192857698"/>
          <c:w val="0.69094721071865461"/>
          <c:h val="0.11887011100639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Number of Transactions
FY2013</a:t>
            </a:r>
            <a:r>
              <a:rPr lang="en-US" baseline="0"/>
              <a:t> </a:t>
            </a:r>
            <a:r>
              <a:rPr lang="en-US"/>
              <a:t>Trend</a:t>
            </a:r>
          </a:p>
        </c:rich>
      </c:tx>
      <c:layout>
        <c:manualLayout>
          <c:xMode val="edge"/>
          <c:yMode val="edge"/>
          <c:x val="0.31388329979879825"/>
          <c:y val="3.7453183520599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4688128772644"/>
          <c:y val="0.32209855636469542"/>
          <c:w val="0.74446680080482897"/>
          <c:h val="0.37078787302447735"/>
        </c:manualLayout>
      </c:layout>
      <c:lineChart>
        <c:grouping val="standard"/>
        <c:varyColors val="0"/>
        <c:ser>
          <c:idx val="0"/>
          <c:order val="0"/>
          <c:tx>
            <c:v>Credit 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'FY2013'!$A$25:$A$36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'FY2013'!$B$25:$B$36</c:f>
              <c:numCache>
                <c:formatCode>[Black]#,##0;[Black]\-#,##0</c:formatCode>
                <c:ptCount val="12"/>
                <c:pt idx="0">
                  <c:v>6255777</c:v>
                </c:pt>
                <c:pt idx="1">
                  <c:v>5924106</c:v>
                </c:pt>
                <c:pt idx="2">
                  <c:v>5873542</c:v>
                </c:pt>
                <c:pt idx="3">
                  <c:v>6345381</c:v>
                </c:pt>
                <c:pt idx="4">
                  <c:v>6087695</c:v>
                </c:pt>
                <c:pt idx="5">
                  <c:v>7012651</c:v>
                </c:pt>
                <c:pt idx="6">
                  <c:v>6664782</c:v>
                </c:pt>
                <c:pt idx="7">
                  <c:v>7237385</c:v>
                </c:pt>
                <c:pt idx="8">
                  <c:v>7177904</c:v>
                </c:pt>
                <c:pt idx="9">
                  <c:v>7031431</c:v>
                </c:pt>
                <c:pt idx="10">
                  <c:v>7164508</c:v>
                </c:pt>
                <c:pt idx="11">
                  <c:v>6451839</c:v>
                </c:pt>
              </c:numCache>
            </c:numRef>
          </c:val>
          <c:smooth val="0"/>
        </c:ser>
        <c:ser>
          <c:idx val="1"/>
          <c:order val="1"/>
          <c:tx>
            <c:v>Credit 2012</c:v>
          </c:tx>
          <c:marker>
            <c:symbol val="square"/>
            <c:size val="5"/>
          </c:marker>
          <c:cat>
            <c:numRef>
              <c:f>'FY2013'!$A$25:$A$36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'FY2012'!$B$33:$B$44</c:f>
              <c:numCache>
                <c:formatCode>[Black]#,##0;[Black]\-#,##0</c:formatCode>
                <c:ptCount val="12"/>
                <c:pt idx="0">
                  <c:v>5992303</c:v>
                </c:pt>
                <c:pt idx="1">
                  <c:v>5689902</c:v>
                </c:pt>
                <c:pt idx="2">
                  <c:v>5919220</c:v>
                </c:pt>
                <c:pt idx="3">
                  <c:v>5934772</c:v>
                </c:pt>
                <c:pt idx="4">
                  <c:v>6133125</c:v>
                </c:pt>
                <c:pt idx="5">
                  <c:v>6795680</c:v>
                </c:pt>
                <c:pt idx="6">
                  <c:v>6426850</c:v>
                </c:pt>
                <c:pt idx="7">
                  <c:v>7078331</c:v>
                </c:pt>
                <c:pt idx="8">
                  <c:v>7116306</c:v>
                </c:pt>
                <c:pt idx="9">
                  <c:v>7002637</c:v>
                </c:pt>
                <c:pt idx="10">
                  <c:v>7103612</c:v>
                </c:pt>
                <c:pt idx="11">
                  <c:v>6338697</c:v>
                </c:pt>
              </c:numCache>
            </c:numRef>
          </c:val>
          <c:smooth val="0"/>
        </c:ser>
        <c:ser>
          <c:idx val="2"/>
          <c:order val="2"/>
          <c:tx>
            <c:v>Credit 2011</c:v>
          </c:tx>
          <c:cat>
            <c:numRef>
              <c:f>'FY2013'!$A$25:$A$36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'FY2011'!$B$34:$B$45</c:f>
              <c:numCache>
                <c:formatCode>[Black]#,##0;[Black]\-#,##0</c:formatCode>
                <c:ptCount val="12"/>
                <c:pt idx="0">
                  <c:v>5453504</c:v>
                </c:pt>
                <c:pt idx="1">
                  <c:v>5211941</c:v>
                </c:pt>
                <c:pt idx="2">
                  <c:v>5516954</c:v>
                </c:pt>
                <c:pt idx="3">
                  <c:v>5473873</c:v>
                </c:pt>
                <c:pt idx="4">
                  <c:v>5514669</c:v>
                </c:pt>
                <c:pt idx="5">
                  <c:v>6387329</c:v>
                </c:pt>
                <c:pt idx="6">
                  <c:v>6119678</c:v>
                </c:pt>
                <c:pt idx="7">
                  <c:v>6290760</c:v>
                </c:pt>
                <c:pt idx="8">
                  <c:v>6524688</c:v>
                </c:pt>
                <c:pt idx="9">
                  <c:v>6846598</c:v>
                </c:pt>
                <c:pt idx="10">
                  <c:v>6570270</c:v>
                </c:pt>
                <c:pt idx="11">
                  <c:v>6195641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86400"/>
        <c:axId val="112100480"/>
      </c:lineChart>
      <c:dateAx>
        <c:axId val="1120864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004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100480"/>
        <c:scaling>
          <c:orientation val="minMax"/>
          <c:max val="7500000"/>
          <c:min val="47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9.7945547113117842E-3"/>
              <c:y val="0.3632970833703583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#,##0;[Black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086400"/>
        <c:crosses val="autoZero"/>
        <c:crossBetween val="between"/>
        <c:majorUnit val="5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44735971225214"/>
          <c:y val="0.84018272000463157"/>
          <c:w val="0.69787060335706574"/>
          <c:h val="0.11896622711577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portrait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Interchange
FY2013 Trend</a:t>
            </a:r>
          </a:p>
        </c:rich>
      </c:tx>
      <c:layout>
        <c:manualLayout>
          <c:xMode val="edge"/>
          <c:yMode val="edge"/>
          <c:x val="0.31400000000000361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0000000000012"/>
          <c:y val="0.31970260223048996"/>
          <c:w val="0.81200000000000061"/>
          <c:h val="0.37546468401488442"/>
        </c:manualLayout>
      </c:layout>
      <c:lineChart>
        <c:grouping val="standard"/>
        <c:varyColors val="0"/>
        <c:ser>
          <c:idx val="0"/>
          <c:order val="0"/>
          <c:tx>
            <c:v>Credit 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'FY2013'!$A$59:$A$70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'FY2013'!$B$59:$B$70</c:f>
              <c:numCache>
                <c:formatCode>"$"#,##0</c:formatCode>
                <c:ptCount val="12"/>
                <c:pt idx="0">
                  <c:v>9906263.3499999996</c:v>
                </c:pt>
                <c:pt idx="1">
                  <c:v>10335858.539999999</c:v>
                </c:pt>
                <c:pt idx="2">
                  <c:v>10481313.57</c:v>
                </c:pt>
                <c:pt idx="3">
                  <c:v>11020817.949999999</c:v>
                </c:pt>
                <c:pt idx="4">
                  <c:v>10016656.34</c:v>
                </c:pt>
                <c:pt idx="5">
                  <c:v>11525646.879999999</c:v>
                </c:pt>
                <c:pt idx="6">
                  <c:v>11455928.32</c:v>
                </c:pt>
                <c:pt idx="7">
                  <c:v>12438261.300000001</c:v>
                </c:pt>
                <c:pt idx="8">
                  <c:v>12147493.199999999</c:v>
                </c:pt>
                <c:pt idx="9">
                  <c:v>12154274.180000002</c:v>
                </c:pt>
                <c:pt idx="10">
                  <c:v>12031129.640000001</c:v>
                </c:pt>
                <c:pt idx="11">
                  <c:v>11478861.59</c:v>
                </c:pt>
              </c:numCache>
            </c:numRef>
          </c:val>
          <c:smooth val="0"/>
        </c:ser>
        <c:ser>
          <c:idx val="1"/>
          <c:order val="1"/>
          <c:tx>
            <c:v>Credit 2012</c:v>
          </c:tx>
          <c:marker>
            <c:symbol val="square"/>
            <c:size val="5"/>
          </c:marker>
          <c:cat>
            <c:numRef>
              <c:f>'FY2013'!$A$59:$A$70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'FY2012'!$B$67:$B$78</c:f>
              <c:numCache>
                <c:formatCode>"$"#,##0</c:formatCode>
                <c:ptCount val="12"/>
                <c:pt idx="0">
                  <c:v>9710032.9700000007</c:v>
                </c:pt>
                <c:pt idx="1">
                  <c:v>9634886.9399999995</c:v>
                </c:pt>
                <c:pt idx="2">
                  <c:v>10149741</c:v>
                </c:pt>
                <c:pt idx="3">
                  <c:v>9394360</c:v>
                </c:pt>
                <c:pt idx="4">
                  <c:v>9469837.1799999997</c:v>
                </c:pt>
                <c:pt idx="5">
                  <c:v>10537308.210000001</c:v>
                </c:pt>
                <c:pt idx="6">
                  <c:v>10016212.059999999</c:v>
                </c:pt>
                <c:pt idx="7">
                  <c:v>11415144</c:v>
                </c:pt>
                <c:pt idx="8">
                  <c:v>11812731</c:v>
                </c:pt>
                <c:pt idx="9">
                  <c:v>11349766</c:v>
                </c:pt>
                <c:pt idx="10">
                  <c:v>12089605.68</c:v>
                </c:pt>
                <c:pt idx="11">
                  <c:v>10923025.050000001</c:v>
                </c:pt>
              </c:numCache>
            </c:numRef>
          </c:val>
          <c:smooth val="0"/>
        </c:ser>
        <c:ser>
          <c:idx val="2"/>
          <c:order val="2"/>
          <c:tx>
            <c:v>Credit 2011</c:v>
          </c:tx>
          <c:cat>
            <c:numRef>
              <c:f>'FY2013'!$A$59:$A$70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'FY2011'!$B$68:$B$79</c:f>
              <c:numCache>
                <c:formatCode>"$"#,##0</c:formatCode>
                <c:ptCount val="12"/>
                <c:pt idx="0">
                  <c:v>10754188.27999996</c:v>
                </c:pt>
                <c:pt idx="1">
                  <c:v>9229645.3699999992</c:v>
                </c:pt>
                <c:pt idx="2">
                  <c:v>10607398.27</c:v>
                </c:pt>
                <c:pt idx="3">
                  <c:v>9304238.8599999994</c:v>
                </c:pt>
                <c:pt idx="4">
                  <c:v>9168267</c:v>
                </c:pt>
                <c:pt idx="5">
                  <c:v>10804872.029999999</c:v>
                </c:pt>
                <c:pt idx="6">
                  <c:v>11039319</c:v>
                </c:pt>
                <c:pt idx="7">
                  <c:v>11244004</c:v>
                </c:pt>
                <c:pt idx="8">
                  <c:v>12028464</c:v>
                </c:pt>
                <c:pt idx="9">
                  <c:v>12168184.85</c:v>
                </c:pt>
                <c:pt idx="10">
                  <c:v>11351389</c:v>
                </c:pt>
                <c:pt idx="11">
                  <c:v>11211485.620000001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31072"/>
        <c:axId val="112009984"/>
      </c:lineChart>
      <c:dateAx>
        <c:axId val="112131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0099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009984"/>
        <c:scaling>
          <c:orientation val="minMax"/>
          <c:max val="13000000"/>
          <c:min val="8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31072"/>
        <c:crosses val="autoZero"/>
        <c:crossBetween val="between"/>
        <c:majorUnit val="1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98773276520557"/>
          <c:y val="0.84862535228578939"/>
          <c:w val="0.78334585601587836"/>
          <c:h val="0.11083410178151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portrait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Signature</a:t>
            </a:r>
            <a:r>
              <a:rPr lang="en-US" baseline="0"/>
              <a:t> Debit Interchange</a:t>
            </a:r>
            <a:r>
              <a:rPr lang="en-US"/>
              <a:t>
FY2013 Trend</a:t>
            </a:r>
          </a:p>
        </c:rich>
      </c:tx>
      <c:layout>
        <c:manualLayout>
          <c:xMode val="edge"/>
          <c:yMode val="edge"/>
          <c:x val="0.27305284830222032"/>
          <c:y val="3.69779527559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9823610503756"/>
          <c:y val="0.3186824586569178"/>
          <c:w val="0.81124657074895357"/>
          <c:h val="0.38095374368183282"/>
        </c:manualLayout>
      </c:layout>
      <c:lineChart>
        <c:grouping val="standard"/>
        <c:varyColors val="0"/>
        <c:ser>
          <c:idx val="0"/>
          <c:order val="0"/>
          <c:tx>
            <c:v>Sig Debit Intx 2013</c:v>
          </c:tx>
          <c:spPr>
            <a:ln w="12700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'FY2013'!$A$93:$A$104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'FY2013'!$D$93:$D$104</c:f>
              <c:numCache>
                <c:formatCode>"$"#,##0</c:formatCode>
                <c:ptCount val="12"/>
                <c:pt idx="0">
                  <c:v>714621</c:v>
                </c:pt>
                <c:pt idx="1">
                  <c:v>662887</c:v>
                </c:pt>
                <c:pt idx="2">
                  <c:v>684392</c:v>
                </c:pt>
                <c:pt idx="3">
                  <c:v>714127</c:v>
                </c:pt>
                <c:pt idx="4">
                  <c:v>702297</c:v>
                </c:pt>
                <c:pt idx="5">
                  <c:v>831895</c:v>
                </c:pt>
                <c:pt idx="6">
                  <c:v>753678</c:v>
                </c:pt>
                <c:pt idx="7">
                  <c:v>821527</c:v>
                </c:pt>
                <c:pt idx="8">
                  <c:v>826812</c:v>
                </c:pt>
                <c:pt idx="9">
                  <c:v>792155.5</c:v>
                </c:pt>
                <c:pt idx="10">
                  <c:v>814111</c:v>
                </c:pt>
                <c:pt idx="11">
                  <c:v>726496</c:v>
                </c:pt>
              </c:numCache>
            </c:numRef>
          </c:val>
          <c:smooth val="0"/>
        </c:ser>
        <c:ser>
          <c:idx val="2"/>
          <c:order val="1"/>
          <c:tx>
            <c:v>Sig Debit Intx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cat>
            <c:numRef>
              <c:f>'FY2013'!$A$93:$A$104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'FY2012'!$D$101:$D$112</c:f>
              <c:numCache>
                <c:formatCode>"$"#,##0</c:formatCode>
                <c:ptCount val="12"/>
                <c:pt idx="0">
                  <c:v>695078</c:v>
                </c:pt>
                <c:pt idx="1">
                  <c:v>669850.65</c:v>
                </c:pt>
                <c:pt idx="2">
                  <c:v>713838</c:v>
                </c:pt>
                <c:pt idx="3">
                  <c:v>693499</c:v>
                </c:pt>
                <c:pt idx="4">
                  <c:v>753063.25999999791</c:v>
                </c:pt>
                <c:pt idx="5">
                  <c:v>823340.15</c:v>
                </c:pt>
                <c:pt idx="6">
                  <c:v>740126</c:v>
                </c:pt>
                <c:pt idx="7">
                  <c:v>787384</c:v>
                </c:pt>
                <c:pt idx="8">
                  <c:v>807399</c:v>
                </c:pt>
                <c:pt idx="9">
                  <c:v>768086</c:v>
                </c:pt>
                <c:pt idx="10">
                  <c:v>801845.52</c:v>
                </c:pt>
                <c:pt idx="11">
                  <c:v>730956</c:v>
                </c:pt>
              </c:numCache>
            </c:numRef>
          </c:val>
          <c:smooth val="0"/>
        </c:ser>
        <c:ser>
          <c:idx val="1"/>
          <c:order val="2"/>
          <c:tx>
            <c:v>Sig Debit Intx 2011</c:v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'FY2013'!$A$93:$A$104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'FY2011'!$D$102:$D$113</c:f>
              <c:numCache>
                <c:formatCode>"$"#,##0</c:formatCode>
                <c:ptCount val="12"/>
                <c:pt idx="0">
                  <c:v>1056049</c:v>
                </c:pt>
                <c:pt idx="1">
                  <c:v>975947</c:v>
                </c:pt>
                <c:pt idx="2">
                  <c:v>1063565</c:v>
                </c:pt>
                <c:pt idx="3">
                  <c:v>1026501</c:v>
                </c:pt>
                <c:pt idx="4">
                  <c:v>1093455</c:v>
                </c:pt>
                <c:pt idx="5">
                  <c:v>1283904</c:v>
                </c:pt>
                <c:pt idx="6">
                  <c:v>1197405</c:v>
                </c:pt>
                <c:pt idx="7">
                  <c:v>1210519</c:v>
                </c:pt>
                <c:pt idx="8">
                  <c:v>1259255</c:v>
                </c:pt>
                <c:pt idx="9">
                  <c:v>1309200</c:v>
                </c:pt>
                <c:pt idx="10">
                  <c:v>1252713</c:v>
                </c:pt>
                <c:pt idx="11">
                  <c:v>1169794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39808"/>
        <c:axId val="112046080"/>
      </c:lineChart>
      <c:dateAx>
        <c:axId val="1120398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046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046080"/>
        <c:scaling>
          <c:orientation val="minMax"/>
          <c:max val="1500000"/>
          <c:min val="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039808"/>
        <c:crosses val="autoZero"/>
        <c:crossBetween val="between"/>
        <c:majorUnit val="2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11049692461851"/>
          <c:y val="0.85665472440945611"/>
          <c:w val="0.71043388369217664"/>
          <c:h val="0.12334527559055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portrait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New Set-Ups
FY2013 Trend</a:t>
            </a:r>
          </a:p>
        </c:rich>
      </c:tx>
      <c:layout>
        <c:manualLayout>
          <c:xMode val="edge"/>
          <c:yMode val="edge"/>
          <c:x val="0.3695208619332086"/>
          <c:y val="3.85964084750375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39071414610363E-2"/>
          <c:y val="0.18640530421719445"/>
          <c:w val="0.88571232295841651"/>
          <c:h val="0.56391262012710952"/>
        </c:manualLayout>
      </c:layout>
      <c:lineChart>
        <c:grouping val="standard"/>
        <c:varyColors val="0"/>
        <c:ser>
          <c:idx val="0"/>
          <c:order val="0"/>
          <c:tx>
            <c:v>New Account Setup 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'FY2013'!$A$147:$A$158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'FY2013'!$B$147:$B$158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29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  <c:smooth val="0"/>
        </c:ser>
        <c:ser>
          <c:idx val="4"/>
          <c:order val="1"/>
          <c:tx>
            <c:v>New Account Setup 2012</c:v>
          </c:tx>
          <c:cat>
            <c:numRef>
              <c:f>'FY2013'!$A$147:$A$158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'FY2012'!$B$155:$B$166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New Account Setup 2011</c:v>
          </c:tx>
          <c:cat>
            <c:numRef>
              <c:f>'FY2013'!$A$147:$A$158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'FY2011'!$B$156:$B$167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3"/>
          <c:tx>
            <c:v>New Location Only Setup 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'FY2013'!$A$147:$A$158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'FY2013'!$C$147:$C$158</c:f>
              <c:numCache>
                <c:formatCode>General</c:formatCode>
                <c:ptCount val="12"/>
                <c:pt idx="0">
                  <c:v>87</c:v>
                </c:pt>
                <c:pt idx="1">
                  <c:v>10</c:v>
                </c:pt>
                <c:pt idx="2">
                  <c:v>79</c:v>
                </c:pt>
                <c:pt idx="3">
                  <c:v>161</c:v>
                </c:pt>
                <c:pt idx="4">
                  <c:v>10</c:v>
                </c:pt>
                <c:pt idx="5">
                  <c:v>3</c:v>
                </c:pt>
                <c:pt idx="6">
                  <c:v>28</c:v>
                </c:pt>
                <c:pt idx="7">
                  <c:v>28</c:v>
                </c:pt>
                <c:pt idx="8">
                  <c:v>1</c:v>
                </c:pt>
                <c:pt idx="9">
                  <c:v>212</c:v>
                </c:pt>
                <c:pt idx="10">
                  <c:v>23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v>New Location Only Setup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</c:spPr>
          </c:marker>
          <c:cat>
            <c:numRef>
              <c:f>'FY2013'!$A$147:$A$158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'FY2012'!$C$155:$C$166</c:f>
              <c:numCache>
                <c:formatCode>General</c:formatCode>
                <c:ptCount val="12"/>
                <c:pt idx="0">
                  <c:v>14</c:v>
                </c:pt>
                <c:pt idx="1">
                  <c:v>9</c:v>
                </c:pt>
                <c:pt idx="2">
                  <c:v>9</c:v>
                </c:pt>
                <c:pt idx="3">
                  <c:v>59</c:v>
                </c:pt>
                <c:pt idx="4">
                  <c:v>108</c:v>
                </c:pt>
                <c:pt idx="5">
                  <c:v>62</c:v>
                </c:pt>
                <c:pt idx="6">
                  <c:v>31</c:v>
                </c:pt>
                <c:pt idx="7">
                  <c:v>23</c:v>
                </c:pt>
                <c:pt idx="8">
                  <c:v>41</c:v>
                </c:pt>
                <c:pt idx="9">
                  <c:v>36</c:v>
                </c:pt>
                <c:pt idx="10">
                  <c:v>28</c:v>
                </c:pt>
                <c:pt idx="11">
                  <c:v>18</c:v>
                </c:pt>
              </c:numCache>
            </c:numRef>
          </c:val>
          <c:smooth val="0"/>
        </c:ser>
        <c:ser>
          <c:idx val="3"/>
          <c:order val="5"/>
          <c:tx>
            <c:v>New Location Only Setup 2011</c:v>
          </c:tx>
          <c:cat>
            <c:numRef>
              <c:f>'FY2013'!$A$147:$A$158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'FY2011'!$C$156:$C$167</c:f>
              <c:numCache>
                <c:formatCode>General</c:formatCode>
                <c:ptCount val="12"/>
                <c:pt idx="0">
                  <c:v>45</c:v>
                </c:pt>
                <c:pt idx="1">
                  <c:v>46</c:v>
                </c:pt>
                <c:pt idx="2">
                  <c:v>14</c:v>
                </c:pt>
                <c:pt idx="3">
                  <c:v>22</c:v>
                </c:pt>
                <c:pt idx="4">
                  <c:v>24</c:v>
                </c:pt>
                <c:pt idx="5">
                  <c:v>57</c:v>
                </c:pt>
                <c:pt idx="6">
                  <c:v>13</c:v>
                </c:pt>
                <c:pt idx="7">
                  <c:v>54</c:v>
                </c:pt>
                <c:pt idx="8">
                  <c:v>60</c:v>
                </c:pt>
                <c:pt idx="9">
                  <c:v>10</c:v>
                </c:pt>
                <c:pt idx="10">
                  <c:v>15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3056"/>
        <c:axId val="112174592"/>
      </c:lineChart>
      <c:dateAx>
        <c:axId val="1121730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74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174592"/>
        <c:scaling>
          <c:orientation val="minMax"/>
          <c:max val="1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73056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90936773958205"/>
          <c:y val="0.85685898609369315"/>
          <c:w val="0.79071930444961125"/>
          <c:h val="0.10986050262182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55" r="0.75000000000001055" t="1" header="0.5" footer="0.5"/>
    <c:pageSetup orientation="landscape" horizontalDpi="-3" verticalDpi="1200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Credit and Debit Card Collections
Network Fees
FY2013 Trend</a:t>
            </a:r>
          </a:p>
        </c:rich>
      </c:tx>
      <c:layout>
        <c:manualLayout>
          <c:xMode val="edge"/>
          <c:yMode val="edge"/>
          <c:x val="0.31325301204819223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3036437247181"/>
          <c:y val="0.3010634415798954"/>
          <c:w val="0.8137651821862345"/>
          <c:h val="0.40023728115914958"/>
        </c:manualLayout>
      </c:layout>
      <c:lineChart>
        <c:grouping val="standard"/>
        <c:varyColors val="0"/>
        <c:ser>
          <c:idx val="0"/>
          <c:order val="0"/>
          <c:tx>
            <c:v>Credit 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'FY2013'!$A$76:$A$87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'FY2013'!$B$76:$B$87</c:f>
              <c:numCache>
                <c:formatCode>"$"#,##0</c:formatCode>
                <c:ptCount val="12"/>
                <c:pt idx="0">
                  <c:v>828338.27000000025</c:v>
                </c:pt>
                <c:pt idx="1">
                  <c:v>788749.7699999999</c:v>
                </c:pt>
                <c:pt idx="2">
                  <c:v>798354.00999999978</c:v>
                </c:pt>
                <c:pt idx="3">
                  <c:v>826666.86</c:v>
                </c:pt>
                <c:pt idx="4">
                  <c:v>778684.64999999991</c:v>
                </c:pt>
                <c:pt idx="5">
                  <c:v>884092.4</c:v>
                </c:pt>
                <c:pt idx="6">
                  <c:v>841286.8600000001</c:v>
                </c:pt>
                <c:pt idx="7">
                  <c:v>904893.62000000023</c:v>
                </c:pt>
                <c:pt idx="8">
                  <c:v>933936.03</c:v>
                </c:pt>
                <c:pt idx="9">
                  <c:v>930942.11</c:v>
                </c:pt>
                <c:pt idx="10">
                  <c:v>948706.93</c:v>
                </c:pt>
                <c:pt idx="11">
                  <c:v>874303.06999999937</c:v>
                </c:pt>
              </c:numCache>
            </c:numRef>
          </c:val>
          <c:smooth val="0"/>
        </c:ser>
        <c:ser>
          <c:idx val="1"/>
          <c:order val="1"/>
          <c:tx>
            <c:v>Credit 2012</c:v>
          </c:tx>
          <c:marker>
            <c:symbol val="square"/>
            <c:size val="5"/>
          </c:marker>
          <c:cat>
            <c:numRef>
              <c:f>'FY2013'!$A$76:$A$87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'FY2012'!$B$84:$B$95</c:f>
              <c:numCache>
                <c:formatCode>"$"#,##0</c:formatCode>
                <c:ptCount val="12"/>
                <c:pt idx="0">
                  <c:v>658627.5</c:v>
                </c:pt>
                <c:pt idx="1">
                  <c:v>648592</c:v>
                </c:pt>
                <c:pt idx="2">
                  <c:v>682470.53</c:v>
                </c:pt>
                <c:pt idx="3">
                  <c:v>654762.35</c:v>
                </c:pt>
                <c:pt idx="4">
                  <c:v>675088.63000000012</c:v>
                </c:pt>
                <c:pt idx="5">
                  <c:v>738130.39</c:v>
                </c:pt>
                <c:pt idx="6">
                  <c:v>757972.45000000007</c:v>
                </c:pt>
                <c:pt idx="7">
                  <c:v>846944.13</c:v>
                </c:pt>
                <c:pt idx="8">
                  <c:v>880652.52000000014</c:v>
                </c:pt>
                <c:pt idx="9">
                  <c:v>853362.1100000001</c:v>
                </c:pt>
                <c:pt idx="10">
                  <c:v>890581.28</c:v>
                </c:pt>
                <c:pt idx="11">
                  <c:v>848319.48999999987</c:v>
                </c:pt>
              </c:numCache>
            </c:numRef>
          </c:val>
          <c:smooth val="0"/>
        </c:ser>
        <c:ser>
          <c:idx val="2"/>
          <c:order val="2"/>
          <c:tx>
            <c:v>Credit 2011</c:v>
          </c:tx>
          <c:cat>
            <c:numRef>
              <c:f>'FY2013'!$A$76:$A$87</c:f>
              <c:numCache>
                <c:formatCode>mmm\-yy</c:formatCode>
                <c:ptCount val="12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</c:numCache>
            </c:numRef>
          </c:cat>
          <c:val>
            <c:numRef>
              <c:f>'FY2011'!$B$85:$B$96</c:f>
              <c:numCache>
                <c:formatCode>"$"#,##0</c:formatCode>
                <c:ptCount val="12"/>
                <c:pt idx="0">
                  <c:v>650582.87</c:v>
                </c:pt>
                <c:pt idx="1">
                  <c:v>586329.14000000013</c:v>
                </c:pt>
                <c:pt idx="2">
                  <c:v>660166.44999999995</c:v>
                </c:pt>
                <c:pt idx="3">
                  <c:v>585522.64</c:v>
                </c:pt>
                <c:pt idx="4">
                  <c:v>608020.66999999993</c:v>
                </c:pt>
                <c:pt idx="5">
                  <c:v>702297.44</c:v>
                </c:pt>
                <c:pt idx="6">
                  <c:v>693580</c:v>
                </c:pt>
                <c:pt idx="7">
                  <c:v>717799.28</c:v>
                </c:pt>
                <c:pt idx="8">
                  <c:v>751491.67</c:v>
                </c:pt>
                <c:pt idx="9">
                  <c:v>770050.96</c:v>
                </c:pt>
                <c:pt idx="10">
                  <c:v>729298.57000000007</c:v>
                </c:pt>
                <c:pt idx="11">
                  <c:v>700181.32000000007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96992"/>
        <c:axId val="111809280"/>
      </c:lineChart>
      <c:dateAx>
        <c:axId val="1121969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092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809280"/>
        <c:scaling>
          <c:orientation val="minMax"/>
          <c:max val="1000000"/>
          <c:min val="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96992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782830831335938"/>
          <c:y val="0.8534925196850397"/>
          <c:w val="0.76614058642253902"/>
          <c:h val="0.111507480314959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13" Type="http://schemas.openxmlformats.org/officeDocument/2006/relationships/chart" Target="../charts/chart83.xml"/><Relationship Id="rId18" Type="http://schemas.openxmlformats.org/officeDocument/2006/relationships/chart" Target="../charts/chart88.xml"/><Relationship Id="rId3" Type="http://schemas.openxmlformats.org/officeDocument/2006/relationships/chart" Target="../charts/chart73.xml"/><Relationship Id="rId21" Type="http://schemas.openxmlformats.org/officeDocument/2006/relationships/chart" Target="../charts/chart91.xml"/><Relationship Id="rId7" Type="http://schemas.openxmlformats.org/officeDocument/2006/relationships/chart" Target="../charts/chart77.xml"/><Relationship Id="rId12" Type="http://schemas.openxmlformats.org/officeDocument/2006/relationships/chart" Target="../charts/chart82.xml"/><Relationship Id="rId17" Type="http://schemas.openxmlformats.org/officeDocument/2006/relationships/chart" Target="../charts/chart87.xml"/><Relationship Id="rId2" Type="http://schemas.openxmlformats.org/officeDocument/2006/relationships/chart" Target="../charts/chart72.xml"/><Relationship Id="rId16" Type="http://schemas.openxmlformats.org/officeDocument/2006/relationships/chart" Target="../charts/chart86.xml"/><Relationship Id="rId20" Type="http://schemas.openxmlformats.org/officeDocument/2006/relationships/chart" Target="../charts/chart90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11" Type="http://schemas.openxmlformats.org/officeDocument/2006/relationships/chart" Target="../charts/chart81.xml"/><Relationship Id="rId5" Type="http://schemas.openxmlformats.org/officeDocument/2006/relationships/chart" Target="../charts/chart75.xml"/><Relationship Id="rId15" Type="http://schemas.openxmlformats.org/officeDocument/2006/relationships/chart" Target="../charts/chart85.xml"/><Relationship Id="rId10" Type="http://schemas.openxmlformats.org/officeDocument/2006/relationships/chart" Target="../charts/chart80.xml"/><Relationship Id="rId19" Type="http://schemas.openxmlformats.org/officeDocument/2006/relationships/chart" Target="../charts/chart89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Relationship Id="rId14" Type="http://schemas.openxmlformats.org/officeDocument/2006/relationships/chart" Target="../charts/chart84.xml"/><Relationship Id="rId22" Type="http://schemas.openxmlformats.org/officeDocument/2006/relationships/chart" Target="../charts/chart9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0.xml"/><Relationship Id="rId13" Type="http://schemas.openxmlformats.org/officeDocument/2006/relationships/chart" Target="../charts/chart105.xml"/><Relationship Id="rId18" Type="http://schemas.openxmlformats.org/officeDocument/2006/relationships/chart" Target="../charts/chart110.xml"/><Relationship Id="rId3" Type="http://schemas.openxmlformats.org/officeDocument/2006/relationships/chart" Target="../charts/chart95.xml"/><Relationship Id="rId21" Type="http://schemas.openxmlformats.org/officeDocument/2006/relationships/chart" Target="../charts/chart113.xml"/><Relationship Id="rId7" Type="http://schemas.openxmlformats.org/officeDocument/2006/relationships/chart" Target="../charts/chart99.xml"/><Relationship Id="rId12" Type="http://schemas.openxmlformats.org/officeDocument/2006/relationships/chart" Target="../charts/chart104.xml"/><Relationship Id="rId17" Type="http://schemas.openxmlformats.org/officeDocument/2006/relationships/chart" Target="../charts/chart109.xml"/><Relationship Id="rId2" Type="http://schemas.openxmlformats.org/officeDocument/2006/relationships/chart" Target="../charts/chart94.xml"/><Relationship Id="rId16" Type="http://schemas.openxmlformats.org/officeDocument/2006/relationships/chart" Target="../charts/chart108.xml"/><Relationship Id="rId20" Type="http://schemas.openxmlformats.org/officeDocument/2006/relationships/chart" Target="../charts/chart112.xml"/><Relationship Id="rId1" Type="http://schemas.openxmlformats.org/officeDocument/2006/relationships/chart" Target="../charts/chart93.xml"/><Relationship Id="rId6" Type="http://schemas.openxmlformats.org/officeDocument/2006/relationships/chart" Target="../charts/chart98.xml"/><Relationship Id="rId11" Type="http://schemas.openxmlformats.org/officeDocument/2006/relationships/chart" Target="../charts/chart103.xml"/><Relationship Id="rId5" Type="http://schemas.openxmlformats.org/officeDocument/2006/relationships/chart" Target="../charts/chart97.xml"/><Relationship Id="rId15" Type="http://schemas.openxmlformats.org/officeDocument/2006/relationships/chart" Target="../charts/chart107.xml"/><Relationship Id="rId10" Type="http://schemas.openxmlformats.org/officeDocument/2006/relationships/chart" Target="../charts/chart102.xml"/><Relationship Id="rId19" Type="http://schemas.openxmlformats.org/officeDocument/2006/relationships/chart" Target="../charts/chart111.xml"/><Relationship Id="rId4" Type="http://schemas.openxmlformats.org/officeDocument/2006/relationships/chart" Target="../charts/chart96.xml"/><Relationship Id="rId9" Type="http://schemas.openxmlformats.org/officeDocument/2006/relationships/chart" Target="../charts/chart101.xml"/><Relationship Id="rId14" Type="http://schemas.openxmlformats.org/officeDocument/2006/relationships/chart" Target="../charts/chart106.xml"/><Relationship Id="rId22" Type="http://schemas.openxmlformats.org/officeDocument/2006/relationships/chart" Target="../charts/chart11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2.xml"/><Relationship Id="rId13" Type="http://schemas.openxmlformats.org/officeDocument/2006/relationships/chart" Target="../charts/chart127.xml"/><Relationship Id="rId18" Type="http://schemas.openxmlformats.org/officeDocument/2006/relationships/chart" Target="../charts/chart132.xml"/><Relationship Id="rId3" Type="http://schemas.openxmlformats.org/officeDocument/2006/relationships/chart" Target="../charts/chart117.xml"/><Relationship Id="rId7" Type="http://schemas.openxmlformats.org/officeDocument/2006/relationships/chart" Target="../charts/chart121.xml"/><Relationship Id="rId12" Type="http://schemas.openxmlformats.org/officeDocument/2006/relationships/chart" Target="../charts/chart126.xml"/><Relationship Id="rId17" Type="http://schemas.openxmlformats.org/officeDocument/2006/relationships/chart" Target="../charts/chart131.xml"/><Relationship Id="rId2" Type="http://schemas.openxmlformats.org/officeDocument/2006/relationships/chart" Target="../charts/chart116.xml"/><Relationship Id="rId16" Type="http://schemas.openxmlformats.org/officeDocument/2006/relationships/chart" Target="../charts/chart130.xml"/><Relationship Id="rId20" Type="http://schemas.openxmlformats.org/officeDocument/2006/relationships/chart" Target="../charts/chart134.xml"/><Relationship Id="rId1" Type="http://schemas.openxmlformats.org/officeDocument/2006/relationships/chart" Target="../charts/chart115.xml"/><Relationship Id="rId6" Type="http://schemas.openxmlformats.org/officeDocument/2006/relationships/chart" Target="../charts/chart120.xml"/><Relationship Id="rId11" Type="http://schemas.openxmlformats.org/officeDocument/2006/relationships/chart" Target="../charts/chart125.xml"/><Relationship Id="rId5" Type="http://schemas.openxmlformats.org/officeDocument/2006/relationships/chart" Target="../charts/chart119.xml"/><Relationship Id="rId15" Type="http://schemas.openxmlformats.org/officeDocument/2006/relationships/chart" Target="../charts/chart129.xml"/><Relationship Id="rId10" Type="http://schemas.openxmlformats.org/officeDocument/2006/relationships/chart" Target="../charts/chart124.xml"/><Relationship Id="rId19" Type="http://schemas.openxmlformats.org/officeDocument/2006/relationships/chart" Target="../charts/chart133.xml"/><Relationship Id="rId4" Type="http://schemas.openxmlformats.org/officeDocument/2006/relationships/chart" Target="../charts/chart118.xml"/><Relationship Id="rId9" Type="http://schemas.openxmlformats.org/officeDocument/2006/relationships/chart" Target="../charts/chart123.xml"/><Relationship Id="rId14" Type="http://schemas.openxmlformats.org/officeDocument/2006/relationships/chart" Target="../charts/chart12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2.xml"/><Relationship Id="rId3" Type="http://schemas.openxmlformats.org/officeDocument/2006/relationships/chart" Target="../charts/chart137.xml"/><Relationship Id="rId7" Type="http://schemas.openxmlformats.org/officeDocument/2006/relationships/chart" Target="../charts/chart141.xml"/><Relationship Id="rId2" Type="http://schemas.openxmlformats.org/officeDocument/2006/relationships/chart" Target="../charts/chart136.xml"/><Relationship Id="rId1" Type="http://schemas.openxmlformats.org/officeDocument/2006/relationships/chart" Target="../charts/chart135.xml"/><Relationship Id="rId6" Type="http://schemas.openxmlformats.org/officeDocument/2006/relationships/chart" Target="../charts/chart140.xml"/><Relationship Id="rId11" Type="http://schemas.openxmlformats.org/officeDocument/2006/relationships/chart" Target="../charts/chart145.xml"/><Relationship Id="rId5" Type="http://schemas.openxmlformats.org/officeDocument/2006/relationships/chart" Target="../charts/chart139.xml"/><Relationship Id="rId10" Type="http://schemas.openxmlformats.org/officeDocument/2006/relationships/chart" Target="../charts/chart144.xml"/><Relationship Id="rId4" Type="http://schemas.openxmlformats.org/officeDocument/2006/relationships/chart" Target="../charts/chart138.xml"/><Relationship Id="rId9" Type="http://schemas.openxmlformats.org/officeDocument/2006/relationships/chart" Target="../charts/chart14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3.xml"/><Relationship Id="rId3" Type="http://schemas.openxmlformats.org/officeDocument/2006/relationships/chart" Target="../charts/chart148.xml"/><Relationship Id="rId7" Type="http://schemas.openxmlformats.org/officeDocument/2006/relationships/chart" Target="../charts/chart152.xml"/><Relationship Id="rId2" Type="http://schemas.openxmlformats.org/officeDocument/2006/relationships/chart" Target="../charts/chart147.xml"/><Relationship Id="rId1" Type="http://schemas.openxmlformats.org/officeDocument/2006/relationships/chart" Target="../charts/chart146.xml"/><Relationship Id="rId6" Type="http://schemas.openxmlformats.org/officeDocument/2006/relationships/chart" Target="../charts/chart151.xml"/><Relationship Id="rId5" Type="http://schemas.openxmlformats.org/officeDocument/2006/relationships/chart" Target="../charts/chart150.xml"/><Relationship Id="rId4" Type="http://schemas.openxmlformats.org/officeDocument/2006/relationships/chart" Target="../charts/chart149.xml"/><Relationship Id="rId9" Type="http://schemas.openxmlformats.org/officeDocument/2006/relationships/chart" Target="../charts/chart1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39</xdr:row>
      <xdr:rowOff>0</xdr:rowOff>
    </xdr:from>
    <xdr:to>
      <xdr:col>11</xdr:col>
      <xdr:colOff>455083</xdr:colOff>
      <xdr:row>54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447674</xdr:colOff>
      <xdr:row>6</xdr:row>
      <xdr:rowOff>57150</xdr:rowOff>
    </xdr:from>
    <xdr:to>
      <xdr:col>11</xdr:col>
      <xdr:colOff>419100</xdr:colOff>
      <xdr:row>20</xdr:row>
      <xdr:rowOff>123824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19051</xdr:colOff>
      <xdr:row>22</xdr:row>
      <xdr:rowOff>38100</xdr:rowOff>
    </xdr:from>
    <xdr:to>
      <xdr:col>11</xdr:col>
      <xdr:colOff>438151</xdr:colOff>
      <xdr:row>36</xdr:row>
      <xdr:rowOff>133350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56</xdr:row>
      <xdr:rowOff>19050</xdr:rowOff>
    </xdr:from>
    <xdr:to>
      <xdr:col>11</xdr:col>
      <xdr:colOff>447675</xdr:colOff>
      <xdr:row>70</xdr:row>
      <xdr:rowOff>133350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518583</xdr:colOff>
      <xdr:row>97</xdr:row>
      <xdr:rowOff>0</xdr:rowOff>
    </xdr:from>
    <xdr:to>
      <xdr:col>18</xdr:col>
      <xdr:colOff>317501</xdr:colOff>
      <xdr:row>112</xdr:row>
      <xdr:rowOff>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167</xdr:row>
      <xdr:rowOff>0</xdr:rowOff>
    </xdr:from>
    <xdr:to>
      <xdr:col>18</xdr:col>
      <xdr:colOff>317500</xdr:colOff>
      <xdr:row>181</xdr:row>
      <xdr:rowOff>152400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73</xdr:row>
      <xdr:rowOff>20108</xdr:rowOff>
    </xdr:from>
    <xdr:to>
      <xdr:col>11</xdr:col>
      <xdr:colOff>438150</xdr:colOff>
      <xdr:row>88</xdr:row>
      <xdr:rowOff>20108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211667</xdr:colOff>
      <xdr:row>184</xdr:row>
      <xdr:rowOff>10584</xdr:rowOff>
    </xdr:from>
    <xdr:to>
      <xdr:col>18</xdr:col>
      <xdr:colOff>338667</xdr:colOff>
      <xdr:row>199</xdr:row>
      <xdr:rowOff>4234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19050</xdr:colOff>
      <xdr:row>211</xdr:row>
      <xdr:rowOff>190501</xdr:rowOff>
    </xdr:from>
    <xdr:to>
      <xdr:col>18</xdr:col>
      <xdr:colOff>317500</xdr:colOff>
      <xdr:row>227</xdr:row>
      <xdr:rowOff>28576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9526</xdr:colOff>
      <xdr:row>115</xdr:row>
      <xdr:rowOff>9525</xdr:rowOff>
    </xdr:from>
    <xdr:to>
      <xdr:col>11</xdr:col>
      <xdr:colOff>455084</xdr:colOff>
      <xdr:row>130</xdr:row>
      <xdr:rowOff>19050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9525</xdr:colOff>
      <xdr:row>132</xdr:row>
      <xdr:rowOff>9525</xdr:rowOff>
    </xdr:from>
    <xdr:to>
      <xdr:col>11</xdr:col>
      <xdr:colOff>476250</xdr:colOff>
      <xdr:row>147</xdr:row>
      <xdr:rowOff>9525</xdr:rowOff>
    </xdr:to>
    <xdr:graphicFrame macro="">
      <xdr:nvGraphicFramePr>
        <xdr:cNvPr id="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476252</xdr:colOff>
      <xdr:row>6</xdr:row>
      <xdr:rowOff>76200</xdr:rowOff>
    </xdr:from>
    <xdr:to>
      <xdr:col>18</xdr:col>
      <xdr:colOff>304800</xdr:colOff>
      <xdr:row>20</xdr:row>
      <xdr:rowOff>133350</xdr:rowOff>
    </xdr:to>
    <xdr:graphicFrame macro="">
      <xdr:nvGraphicFramePr>
        <xdr:cNvPr id="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495300</xdr:colOff>
      <xdr:row>22</xdr:row>
      <xdr:rowOff>47625</xdr:rowOff>
    </xdr:from>
    <xdr:to>
      <xdr:col>18</xdr:col>
      <xdr:colOff>314325</xdr:colOff>
      <xdr:row>36</xdr:row>
      <xdr:rowOff>142875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504825</xdr:colOff>
      <xdr:row>56</xdr:row>
      <xdr:rowOff>31750</xdr:rowOff>
    </xdr:from>
    <xdr:to>
      <xdr:col>18</xdr:col>
      <xdr:colOff>323850</xdr:colOff>
      <xdr:row>70</xdr:row>
      <xdr:rowOff>146050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507999</xdr:colOff>
      <xdr:row>73</xdr:row>
      <xdr:rowOff>31749</xdr:rowOff>
    </xdr:from>
    <xdr:to>
      <xdr:col>18</xdr:col>
      <xdr:colOff>349249</xdr:colOff>
      <xdr:row>88</xdr:row>
      <xdr:rowOff>31749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1</xdr:colOff>
      <xdr:row>97</xdr:row>
      <xdr:rowOff>21166</xdr:rowOff>
    </xdr:from>
    <xdr:to>
      <xdr:col>11</xdr:col>
      <xdr:colOff>444501</xdr:colOff>
      <xdr:row>112</xdr:row>
      <xdr:rowOff>21166</xdr:rowOff>
    </xdr:to>
    <xdr:graphicFrame macro="">
      <xdr:nvGraphicFramePr>
        <xdr:cNvPr id="1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539750</xdr:colOff>
      <xdr:row>115</xdr:row>
      <xdr:rowOff>0</xdr:rowOff>
    </xdr:from>
    <xdr:to>
      <xdr:col>18</xdr:col>
      <xdr:colOff>329142</xdr:colOff>
      <xdr:row>130</xdr:row>
      <xdr:rowOff>9525</xdr:rowOff>
    </xdr:to>
    <xdr:graphicFrame macro="">
      <xdr:nvGraphicFramePr>
        <xdr:cNvPr id="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518583</xdr:colOff>
      <xdr:row>39</xdr:row>
      <xdr:rowOff>0</xdr:rowOff>
    </xdr:from>
    <xdr:to>
      <xdr:col>18</xdr:col>
      <xdr:colOff>338666</xdr:colOff>
      <xdr:row>54</xdr:row>
      <xdr:rowOff>19050</xdr:rowOff>
    </xdr:to>
    <xdr:graphicFrame macro="">
      <xdr:nvGraphicFramePr>
        <xdr:cNvPr id="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539751</xdr:colOff>
      <xdr:row>132</xdr:row>
      <xdr:rowOff>0</xdr:rowOff>
    </xdr:from>
    <xdr:to>
      <xdr:col>18</xdr:col>
      <xdr:colOff>350310</xdr:colOff>
      <xdr:row>147</xdr:row>
      <xdr:rowOff>0</xdr:rowOff>
    </xdr:to>
    <xdr:graphicFrame macro="">
      <xdr:nvGraphicFramePr>
        <xdr:cNvPr id="2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211666</xdr:colOff>
      <xdr:row>251</xdr:row>
      <xdr:rowOff>190502</xdr:rowOff>
    </xdr:from>
    <xdr:to>
      <xdr:col>18</xdr:col>
      <xdr:colOff>317500</xdr:colOff>
      <xdr:row>265</xdr:row>
      <xdr:rowOff>142875</xdr:rowOff>
    </xdr:to>
    <xdr:graphicFrame macro="">
      <xdr:nvGraphicFramePr>
        <xdr:cNvPr id="2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9525</xdr:colOff>
      <xdr:row>232</xdr:row>
      <xdr:rowOff>2</xdr:rowOff>
    </xdr:from>
    <xdr:to>
      <xdr:col>18</xdr:col>
      <xdr:colOff>317500</xdr:colOff>
      <xdr:row>246</xdr:row>
      <xdr:rowOff>133350</xdr:rowOff>
    </xdr:to>
    <xdr:graphicFrame macro="">
      <xdr:nvGraphicFramePr>
        <xdr:cNvPr id="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142875</xdr:colOff>
      <xdr:row>267</xdr:row>
      <xdr:rowOff>142875</xdr:rowOff>
    </xdr:from>
    <xdr:to>
      <xdr:col>22</xdr:col>
      <xdr:colOff>0</xdr:colOff>
      <xdr:row>282</xdr:row>
      <xdr:rowOff>19050</xdr:rowOff>
    </xdr:to>
    <xdr:graphicFrame macro="">
      <xdr:nvGraphicFramePr>
        <xdr:cNvPr id="2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419100</xdr:colOff>
      <xdr:row>148</xdr:row>
      <xdr:rowOff>152400</xdr:rowOff>
    </xdr:from>
    <xdr:to>
      <xdr:col>11</xdr:col>
      <xdr:colOff>441325</xdr:colOff>
      <xdr:row>164</xdr:row>
      <xdr:rowOff>127000</xdr:rowOff>
    </xdr:to>
    <xdr:graphicFrame macro="">
      <xdr:nvGraphicFramePr>
        <xdr:cNvPr id="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0</xdr:colOff>
      <xdr:row>149</xdr:row>
      <xdr:rowOff>0</xdr:rowOff>
    </xdr:from>
    <xdr:to>
      <xdr:col>18</xdr:col>
      <xdr:colOff>674159</xdr:colOff>
      <xdr:row>164</xdr:row>
      <xdr:rowOff>139700</xdr:rowOff>
    </xdr:to>
    <xdr:graphicFrame macro="">
      <xdr:nvGraphicFramePr>
        <xdr:cNvPr id="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39</xdr:row>
      <xdr:rowOff>0</xdr:rowOff>
    </xdr:from>
    <xdr:to>
      <xdr:col>11</xdr:col>
      <xdr:colOff>455083</xdr:colOff>
      <xdr:row>54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447674</xdr:colOff>
      <xdr:row>6</xdr:row>
      <xdr:rowOff>57150</xdr:rowOff>
    </xdr:from>
    <xdr:to>
      <xdr:col>11</xdr:col>
      <xdr:colOff>419100</xdr:colOff>
      <xdr:row>20</xdr:row>
      <xdr:rowOff>123824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19051</xdr:colOff>
      <xdr:row>22</xdr:row>
      <xdr:rowOff>38100</xdr:rowOff>
    </xdr:from>
    <xdr:to>
      <xdr:col>11</xdr:col>
      <xdr:colOff>438151</xdr:colOff>
      <xdr:row>36</xdr:row>
      <xdr:rowOff>133350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56</xdr:row>
      <xdr:rowOff>19050</xdr:rowOff>
    </xdr:from>
    <xdr:to>
      <xdr:col>11</xdr:col>
      <xdr:colOff>447675</xdr:colOff>
      <xdr:row>70</xdr:row>
      <xdr:rowOff>133350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518583</xdr:colOff>
      <xdr:row>97</xdr:row>
      <xdr:rowOff>0</xdr:rowOff>
    </xdr:from>
    <xdr:to>
      <xdr:col>18</xdr:col>
      <xdr:colOff>317501</xdr:colOff>
      <xdr:row>112</xdr:row>
      <xdr:rowOff>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167</xdr:row>
      <xdr:rowOff>0</xdr:rowOff>
    </xdr:from>
    <xdr:to>
      <xdr:col>18</xdr:col>
      <xdr:colOff>317500</xdr:colOff>
      <xdr:row>181</xdr:row>
      <xdr:rowOff>152400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73</xdr:row>
      <xdr:rowOff>20108</xdr:rowOff>
    </xdr:from>
    <xdr:to>
      <xdr:col>11</xdr:col>
      <xdr:colOff>438150</xdr:colOff>
      <xdr:row>88</xdr:row>
      <xdr:rowOff>20108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211667</xdr:colOff>
      <xdr:row>184</xdr:row>
      <xdr:rowOff>10584</xdr:rowOff>
    </xdr:from>
    <xdr:to>
      <xdr:col>18</xdr:col>
      <xdr:colOff>338667</xdr:colOff>
      <xdr:row>199</xdr:row>
      <xdr:rowOff>4234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19050</xdr:colOff>
      <xdr:row>211</xdr:row>
      <xdr:rowOff>190501</xdr:rowOff>
    </xdr:from>
    <xdr:to>
      <xdr:col>18</xdr:col>
      <xdr:colOff>317500</xdr:colOff>
      <xdr:row>227</xdr:row>
      <xdr:rowOff>28576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9526</xdr:colOff>
      <xdr:row>115</xdr:row>
      <xdr:rowOff>9525</xdr:rowOff>
    </xdr:from>
    <xdr:to>
      <xdr:col>11</xdr:col>
      <xdr:colOff>455084</xdr:colOff>
      <xdr:row>130</xdr:row>
      <xdr:rowOff>19050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9525</xdr:colOff>
      <xdr:row>132</xdr:row>
      <xdr:rowOff>9525</xdr:rowOff>
    </xdr:from>
    <xdr:to>
      <xdr:col>11</xdr:col>
      <xdr:colOff>476250</xdr:colOff>
      <xdr:row>147</xdr:row>
      <xdr:rowOff>9525</xdr:rowOff>
    </xdr:to>
    <xdr:graphicFrame macro="">
      <xdr:nvGraphicFramePr>
        <xdr:cNvPr id="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476252</xdr:colOff>
      <xdr:row>6</xdr:row>
      <xdr:rowOff>76200</xdr:rowOff>
    </xdr:from>
    <xdr:to>
      <xdr:col>18</xdr:col>
      <xdr:colOff>304800</xdr:colOff>
      <xdr:row>20</xdr:row>
      <xdr:rowOff>133350</xdr:rowOff>
    </xdr:to>
    <xdr:graphicFrame macro="">
      <xdr:nvGraphicFramePr>
        <xdr:cNvPr id="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495300</xdr:colOff>
      <xdr:row>22</xdr:row>
      <xdr:rowOff>47625</xdr:rowOff>
    </xdr:from>
    <xdr:to>
      <xdr:col>18</xdr:col>
      <xdr:colOff>314325</xdr:colOff>
      <xdr:row>36</xdr:row>
      <xdr:rowOff>142875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504825</xdr:colOff>
      <xdr:row>56</xdr:row>
      <xdr:rowOff>31750</xdr:rowOff>
    </xdr:from>
    <xdr:to>
      <xdr:col>18</xdr:col>
      <xdr:colOff>323850</xdr:colOff>
      <xdr:row>70</xdr:row>
      <xdr:rowOff>146050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507999</xdr:colOff>
      <xdr:row>73</xdr:row>
      <xdr:rowOff>31749</xdr:rowOff>
    </xdr:from>
    <xdr:to>
      <xdr:col>18</xdr:col>
      <xdr:colOff>349249</xdr:colOff>
      <xdr:row>88</xdr:row>
      <xdr:rowOff>31749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1</xdr:colOff>
      <xdr:row>97</xdr:row>
      <xdr:rowOff>21166</xdr:rowOff>
    </xdr:from>
    <xdr:to>
      <xdr:col>11</xdr:col>
      <xdr:colOff>444501</xdr:colOff>
      <xdr:row>112</xdr:row>
      <xdr:rowOff>21166</xdr:rowOff>
    </xdr:to>
    <xdr:graphicFrame macro="">
      <xdr:nvGraphicFramePr>
        <xdr:cNvPr id="1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539750</xdr:colOff>
      <xdr:row>115</xdr:row>
      <xdr:rowOff>0</xdr:rowOff>
    </xdr:from>
    <xdr:to>
      <xdr:col>18</xdr:col>
      <xdr:colOff>329142</xdr:colOff>
      <xdr:row>130</xdr:row>
      <xdr:rowOff>9525</xdr:rowOff>
    </xdr:to>
    <xdr:graphicFrame macro="">
      <xdr:nvGraphicFramePr>
        <xdr:cNvPr id="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518583</xdr:colOff>
      <xdr:row>39</xdr:row>
      <xdr:rowOff>0</xdr:rowOff>
    </xdr:from>
    <xdr:to>
      <xdr:col>18</xdr:col>
      <xdr:colOff>338666</xdr:colOff>
      <xdr:row>54</xdr:row>
      <xdr:rowOff>19050</xdr:rowOff>
    </xdr:to>
    <xdr:graphicFrame macro="">
      <xdr:nvGraphicFramePr>
        <xdr:cNvPr id="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539751</xdr:colOff>
      <xdr:row>132</xdr:row>
      <xdr:rowOff>0</xdr:rowOff>
    </xdr:from>
    <xdr:to>
      <xdr:col>18</xdr:col>
      <xdr:colOff>350310</xdr:colOff>
      <xdr:row>147</xdr:row>
      <xdr:rowOff>0</xdr:rowOff>
    </xdr:to>
    <xdr:graphicFrame macro="">
      <xdr:nvGraphicFramePr>
        <xdr:cNvPr id="2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211666</xdr:colOff>
      <xdr:row>251</xdr:row>
      <xdr:rowOff>190502</xdr:rowOff>
    </xdr:from>
    <xdr:to>
      <xdr:col>18</xdr:col>
      <xdr:colOff>317500</xdr:colOff>
      <xdr:row>265</xdr:row>
      <xdr:rowOff>142875</xdr:rowOff>
    </xdr:to>
    <xdr:graphicFrame macro="">
      <xdr:nvGraphicFramePr>
        <xdr:cNvPr id="2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9525</xdr:colOff>
      <xdr:row>232</xdr:row>
      <xdr:rowOff>2</xdr:rowOff>
    </xdr:from>
    <xdr:to>
      <xdr:col>18</xdr:col>
      <xdr:colOff>317500</xdr:colOff>
      <xdr:row>246</xdr:row>
      <xdr:rowOff>133350</xdr:rowOff>
    </xdr:to>
    <xdr:graphicFrame macro="">
      <xdr:nvGraphicFramePr>
        <xdr:cNvPr id="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142875</xdr:colOff>
      <xdr:row>267</xdr:row>
      <xdr:rowOff>142875</xdr:rowOff>
    </xdr:from>
    <xdr:to>
      <xdr:col>22</xdr:col>
      <xdr:colOff>0</xdr:colOff>
      <xdr:row>282</xdr:row>
      <xdr:rowOff>19050</xdr:rowOff>
    </xdr:to>
    <xdr:graphicFrame macro="">
      <xdr:nvGraphicFramePr>
        <xdr:cNvPr id="2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419100</xdr:colOff>
      <xdr:row>148</xdr:row>
      <xdr:rowOff>152400</xdr:rowOff>
    </xdr:from>
    <xdr:to>
      <xdr:col>11</xdr:col>
      <xdr:colOff>441325</xdr:colOff>
      <xdr:row>164</xdr:row>
      <xdr:rowOff>127000</xdr:rowOff>
    </xdr:to>
    <xdr:graphicFrame macro="">
      <xdr:nvGraphicFramePr>
        <xdr:cNvPr id="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0</xdr:colOff>
      <xdr:row>149</xdr:row>
      <xdr:rowOff>0</xdr:rowOff>
    </xdr:from>
    <xdr:to>
      <xdr:col>18</xdr:col>
      <xdr:colOff>674159</xdr:colOff>
      <xdr:row>164</xdr:row>
      <xdr:rowOff>139700</xdr:rowOff>
    </xdr:to>
    <xdr:graphicFrame macro="">
      <xdr:nvGraphicFramePr>
        <xdr:cNvPr id="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39</xdr:row>
      <xdr:rowOff>0</xdr:rowOff>
    </xdr:from>
    <xdr:to>
      <xdr:col>11</xdr:col>
      <xdr:colOff>455083</xdr:colOff>
      <xdr:row>54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485774</xdr:colOff>
      <xdr:row>6</xdr:row>
      <xdr:rowOff>57150</xdr:rowOff>
    </xdr:from>
    <xdr:to>
      <xdr:col>11</xdr:col>
      <xdr:colOff>419100</xdr:colOff>
      <xdr:row>20</xdr:row>
      <xdr:rowOff>123824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19051</xdr:colOff>
      <xdr:row>22</xdr:row>
      <xdr:rowOff>38100</xdr:rowOff>
    </xdr:from>
    <xdr:to>
      <xdr:col>11</xdr:col>
      <xdr:colOff>438151</xdr:colOff>
      <xdr:row>36</xdr:row>
      <xdr:rowOff>133350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56</xdr:row>
      <xdr:rowOff>19050</xdr:rowOff>
    </xdr:from>
    <xdr:to>
      <xdr:col>11</xdr:col>
      <xdr:colOff>447675</xdr:colOff>
      <xdr:row>70</xdr:row>
      <xdr:rowOff>133350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518583</xdr:colOff>
      <xdr:row>90</xdr:row>
      <xdr:rowOff>0</xdr:rowOff>
    </xdr:from>
    <xdr:to>
      <xdr:col>18</xdr:col>
      <xdr:colOff>317501</xdr:colOff>
      <xdr:row>105</xdr:row>
      <xdr:rowOff>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144</xdr:row>
      <xdr:rowOff>0</xdr:rowOff>
    </xdr:from>
    <xdr:to>
      <xdr:col>18</xdr:col>
      <xdr:colOff>317500</xdr:colOff>
      <xdr:row>158</xdr:row>
      <xdr:rowOff>152400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73</xdr:row>
      <xdr:rowOff>20108</xdr:rowOff>
    </xdr:from>
    <xdr:to>
      <xdr:col>11</xdr:col>
      <xdr:colOff>438150</xdr:colOff>
      <xdr:row>88</xdr:row>
      <xdr:rowOff>20108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211667</xdr:colOff>
      <xdr:row>161</xdr:row>
      <xdr:rowOff>10584</xdr:rowOff>
    </xdr:from>
    <xdr:to>
      <xdr:col>18</xdr:col>
      <xdr:colOff>338667</xdr:colOff>
      <xdr:row>176</xdr:row>
      <xdr:rowOff>4234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19050</xdr:colOff>
      <xdr:row>179</xdr:row>
      <xdr:rowOff>190501</xdr:rowOff>
    </xdr:from>
    <xdr:to>
      <xdr:col>18</xdr:col>
      <xdr:colOff>317500</xdr:colOff>
      <xdr:row>195</xdr:row>
      <xdr:rowOff>28576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9526</xdr:colOff>
      <xdr:row>108</xdr:row>
      <xdr:rowOff>9525</xdr:rowOff>
    </xdr:from>
    <xdr:to>
      <xdr:col>11</xdr:col>
      <xdr:colOff>455084</xdr:colOff>
      <xdr:row>123</xdr:row>
      <xdr:rowOff>19050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9525</xdr:colOff>
      <xdr:row>125</xdr:row>
      <xdr:rowOff>9525</xdr:rowOff>
    </xdr:from>
    <xdr:to>
      <xdr:col>11</xdr:col>
      <xdr:colOff>476250</xdr:colOff>
      <xdr:row>140</xdr:row>
      <xdr:rowOff>9525</xdr:rowOff>
    </xdr:to>
    <xdr:graphicFrame macro="">
      <xdr:nvGraphicFramePr>
        <xdr:cNvPr id="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476252</xdr:colOff>
      <xdr:row>6</xdr:row>
      <xdr:rowOff>66675</xdr:rowOff>
    </xdr:from>
    <xdr:to>
      <xdr:col>18</xdr:col>
      <xdr:colOff>304800</xdr:colOff>
      <xdr:row>20</xdr:row>
      <xdr:rowOff>123825</xdr:rowOff>
    </xdr:to>
    <xdr:graphicFrame macro="">
      <xdr:nvGraphicFramePr>
        <xdr:cNvPr id="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495300</xdr:colOff>
      <xdr:row>22</xdr:row>
      <xdr:rowOff>47625</xdr:rowOff>
    </xdr:from>
    <xdr:to>
      <xdr:col>18</xdr:col>
      <xdr:colOff>314325</xdr:colOff>
      <xdr:row>36</xdr:row>
      <xdr:rowOff>142875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504825</xdr:colOff>
      <xdr:row>56</xdr:row>
      <xdr:rowOff>31750</xdr:rowOff>
    </xdr:from>
    <xdr:to>
      <xdr:col>18</xdr:col>
      <xdr:colOff>323850</xdr:colOff>
      <xdr:row>70</xdr:row>
      <xdr:rowOff>146050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507999</xdr:colOff>
      <xdr:row>73</xdr:row>
      <xdr:rowOff>31749</xdr:rowOff>
    </xdr:from>
    <xdr:to>
      <xdr:col>18</xdr:col>
      <xdr:colOff>349249</xdr:colOff>
      <xdr:row>88</xdr:row>
      <xdr:rowOff>31749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1</xdr:colOff>
      <xdr:row>90</xdr:row>
      <xdr:rowOff>21166</xdr:rowOff>
    </xdr:from>
    <xdr:to>
      <xdr:col>11</xdr:col>
      <xdr:colOff>444501</xdr:colOff>
      <xdr:row>105</xdr:row>
      <xdr:rowOff>21166</xdr:rowOff>
    </xdr:to>
    <xdr:graphicFrame macro="">
      <xdr:nvGraphicFramePr>
        <xdr:cNvPr id="1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539750</xdr:colOff>
      <xdr:row>108</xdr:row>
      <xdr:rowOff>0</xdr:rowOff>
    </xdr:from>
    <xdr:to>
      <xdr:col>18</xdr:col>
      <xdr:colOff>329142</xdr:colOff>
      <xdr:row>123</xdr:row>
      <xdr:rowOff>9525</xdr:rowOff>
    </xdr:to>
    <xdr:graphicFrame macro="">
      <xdr:nvGraphicFramePr>
        <xdr:cNvPr id="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518583</xdr:colOff>
      <xdr:row>39</xdr:row>
      <xdr:rowOff>0</xdr:rowOff>
    </xdr:from>
    <xdr:to>
      <xdr:col>18</xdr:col>
      <xdr:colOff>338666</xdr:colOff>
      <xdr:row>54</xdr:row>
      <xdr:rowOff>19050</xdr:rowOff>
    </xdr:to>
    <xdr:graphicFrame macro="">
      <xdr:nvGraphicFramePr>
        <xdr:cNvPr id="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539751</xdr:colOff>
      <xdr:row>125</xdr:row>
      <xdr:rowOff>0</xdr:rowOff>
    </xdr:from>
    <xdr:to>
      <xdr:col>18</xdr:col>
      <xdr:colOff>350310</xdr:colOff>
      <xdr:row>140</xdr:row>
      <xdr:rowOff>0</xdr:rowOff>
    </xdr:to>
    <xdr:graphicFrame macro="">
      <xdr:nvGraphicFramePr>
        <xdr:cNvPr id="2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211666</xdr:colOff>
      <xdr:row>219</xdr:row>
      <xdr:rowOff>190502</xdr:rowOff>
    </xdr:from>
    <xdr:to>
      <xdr:col>18</xdr:col>
      <xdr:colOff>317500</xdr:colOff>
      <xdr:row>233</xdr:row>
      <xdr:rowOff>142875</xdr:rowOff>
    </xdr:to>
    <xdr:graphicFrame macro="">
      <xdr:nvGraphicFramePr>
        <xdr:cNvPr id="2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9525</xdr:colOff>
      <xdr:row>200</xdr:row>
      <xdr:rowOff>2</xdr:rowOff>
    </xdr:from>
    <xdr:to>
      <xdr:col>18</xdr:col>
      <xdr:colOff>317500</xdr:colOff>
      <xdr:row>214</xdr:row>
      <xdr:rowOff>133350</xdr:rowOff>
    </xdr:to>
    <xdr:graphicFrame macro="">
      <xdr:nvGraphicFramePr>
        <xdr:cNvPr id="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142875</xdr:colOff>
      <xdr:row>235</xdr:row>
      <xdr:rowOff>142875</xdr:rowOff>
    </xdr:from>
    <xdr:to>
      <xdr:col>22</xdr:col>
      <xdr:colOff>0</xdr:colOff>
      <xdr:row>250</xdr:row>
      <xdr:rowOff>19050</xdr:rowOff>
    </xdr:to>
    <xdr:graphicFrame macro="">
      <xdr:nvGraphicFramePr>
        <xdr:cNvPr id="2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39</xdr:row>
      <xdr:rowOff>0</xdr:rowOff>
    </xdr:from>
    <xdr:to>
      <xdr:col>11</xdr:col>
      <xdr:colOff>455083</xdr:colOff>
      <xdr:row>54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485774</xdr:colOff>
      <xdr:row>6</xdr:row>
      <xdr:rowOff>57150</xdr:rowOff>
    </xdr:from>
    <xdr:to>
      <xdr:col>11</xdr:col>
      <xdr:colOff>419100</xdr:colOff>
      <xdr:row>20</xdr:row>
      <xdr:rowOff>123824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19051</xdr:colOff>
      <xdr:row>22</xdr:row>
      <xdr:rowOff>38100</xdr:rowOff>
    </xdr:from>
    <xdr:to>
      <xdr:col>11</xdr:col>
      <xdr:colOff>438151</xdr:colOff>
      <xdr:row>36</xdr:row>
      <xdr:rowOff>133350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56</xdr:row>
      <xdr:rowOff>19050</xdr:rowOff>
    </xdr:from>
    <xdr:to>
      <xdr:col>11</xdr:col>
      <xdr:colOff>447675</xdr:colOff>
      <xdr:row>70</xdr:row>
      <xdr:rowOff>133350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518583</xdr:colOff>
      <xdr:row>90</xdr:row>
      <xdr:rowOff>0</xdr:rowOff>
    </xdr:from>
    <xdr:to>
      <xdr:col>18</xdr:col>
      <xdr:colOff>317501</xdr:colOff>
      <xdr:row>105</xdr:row>
      <xdr:rowOff>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144</xdr:row>
      <xdr:rowOff>0</xdr:rowOff>
    </xdr:from>
    <xdr:to>
      <xdr:col>18</xdr:col>
      <xdr:colOff>317500</xdr:colOff>
      <xdr:row>158</xdr:row>
      <xdr:rowOff>152400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73</xdr:row>
      <xdr:rowOff>20108</xdr:rowOff>
    </xdr:from>
    <xdr:to>
      <xdr:col>11</xdr:col>
      <xdr:colOff>438150</xdr:colOff>
      <xdr:row>88</xdr:row>
      <xdr:rowOff>20108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161</xdr:row>
      <xdr:rowOff>0</xdr:rowOff>
    </xdr:from>
    <xdr:to>
      <xdr:col>18</xdr:col>
      <xdr:colOff>349250</xdr:colOff>
      <xdr:row>175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19050</xdr:colOff>
      <xdr:row>179</xdr:row>
      <xdr:rowOff>190501</xdr:rowOff>
    </xdr:from>
    <xdr:to>
      <xdr:col>18</xdr:col>
      <xdr:colOff>317500</xdr:colOff>
      <xdr:row>195</xdr:row>
      <xdr:rowOff>28576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9526</xdr:colOff>
      <xdr:row>108</xdr:row>
      <xdr:rowOff>9525</xdr:rowOff>
    </xdr:from>
    <xdr:to>
      <xdr:col>11</xdr:col>
      <xdr:colOff>455084</xdr:colOff>
      <xdr:row>123</xdr:row>
      <xdr:rowOff>19050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9525</xdr:colOff>
      <xdr:row>125</xdr:row>
      <xdr:rowOff>9525</xdr:rowOff>
    </xdr:from>
    <xdr:to>
      <xdr:col>11</xdr:col>
      <xdr:colOff>476250</xdr:colOff>
      <xdr:row>140</xdr:row>
      <xdr:rowOff>9525</xdr:rowOff>
    </xdr:to>
    <xdr:graphicFrame macro="">
      <xdr:nvGraphicFramePr>
        <xdr:cNvPr id="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476252</xdr:colOff>
      <xdr:row>6</xdr:row>
      <xdr:rowOff>66675</xdr:rowOff>
    </xdr:from>
    <xdr:to>
      <xdr:col>18</xdr:col>
      <xdr:colOff>304800</xdr:colOff>
      <xdr:row>20</xdr:row>
      <xdr:rowOff>123825</xdr:rowOff>
    </xdr:to>
    <xdr:graphicFrame macro="">
      <xdr:nvGraphicFramePr>
        <xdr:cNvPr id="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495300</xdr:colOff>
      <xdr:row>22</xdr:row>
      <xdr:rowOff>47625</xdr:rowOff>
    </xdr:from>
    <xdr:to>
      <xdr:col>18</xdr:col>
      <xdr:colOff>314325</xdr:colOff>
      <xdr:row>36</xdr:row>
      <xdr:rowOff>142875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504825</xdr:colOff>
      <xdr:row>56</xdr:row>
      <xdr:rowOff>31750</xdr:rowOff>
    </xdr:from>
    <xdr:to>
      <xdr:col>18</xdr:col>
      <xdr:colOff>323850</xdr:colOff>
      <xdr:row>70</xdr:row>
      <xdr:rowOff>146050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507999</xdr:colOff>
      <xdr:row>73</xdr:row>
      <xdr:rowOff>31749</xdr:rowOff>
    </xdr:from>
    <xdr:to>
      <xdr:col>18</xdr:col>
      <xdr:colOff>349249</xdr:colOff>
      <xdr:row>88</xdr:row>
      <xdr:rowOff>31749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1</xdr:colOff>
      <xdr:row>90</xdr:row>
      <xdr:rowOff>21166</xdr:rowOff>
    </xdr:from>
    <xdr:to>
      <xdr:col>11</xdr:col>
      <xdr:colOff>444501</xdr:colOff>
      <xdr:row>105</xdr:row>
      <xdr:rowOff>21166</xdr:rowOff>
    </xdr:to>
    <xdr:graphicFrame macro="">
      <xdr:nvGraphicFramePr>
        <xdr:cNvPr id="1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539750</xdr:colOff>
      <xdr:row>108</xdr:row>
      <xdr:rowOff>0</xdr:rowOff>
    </xdr:from>
    <xdr:to>
      <xdr:col>18</xdr:col>
      <xdr:colOff>329142</xdr:colOff>
      <xdr:row>123</xdr:row>
      <xdr:rowOff>9525</xdr:rowOff>
    </xdr:to>
    <xdr:graphicFrame macro="">
      <xdr:nvGraphicFramePr>
        <xdr:cNvPr id="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518583</xdr:colOff>
      <xdr:row>39</xdr:row>
      <xdr:rowOff>0</xdr:rowOff>
    </xdr:from>
    <xdr:to>
      <xdr:col>18</xdr:col>
      <xdr:colOff>338666</xdr:colOff>
      <xdr:row>54</xdr:row>
      <xdr:rowOff>19050</xdr:rowOff>
    </xdr:to>
    <xdr:graphicFrame macro="">
      <xdr:nvGraphicFramePr>
        <xdr:cNvPr id="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539751</xdr:colOff>
      <xdr:row>125</xdr:row>
      <xdr:rowOff>0</xdr:rowOff>
    </xdr:from>
    <xdr:to>
      <xdr:col>18</xdr:col>
      <xdr:colOff>350310</xdr:colOff>
      <xdr:row>140</xdr:row>
      <xdr:rowOff>0</xdr:rowOff>
    </xdr:to>
    <xdr:graphicFrame macro="">
      <xdr:nvGraphicFramePr>
        <xdr:cNvPr id="2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211666</xdr:colOff>
      <xdr:row>219</xdr:row>
      <xdr:rowOff>190502</xdr:rowOff>
    </xdr:from>
    <xdr:to>
      <xdr:col>18</xdr:col>
      <xdr:colOff>317500</xdr:colOff>
      <xdr:row>233</xdr:row>
      <xdr:rowOff>142875</xdr:rowOff>
    </xdr:to>
    <xdr:graphicFrame macro="">
      <xdr:nvGraphicFramePr>
        <xdr:cNvPr id="2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9525</xdr:colOff>
      <xdr:row>200</xdr:row>
      <xdr:rowOff>2</xdr:rowOff>
    </xdr:from>
    <xdr:to>
      <xdr:col>18</xdr:col>
      <xdr:colOff>317500</xdr:colOff>
      <xdr:row>214</xdr:row>
      <xdr:rowOff>133350</xdr:rowOff>
    </xdr:to>
    <xdr:graphicFrame macro="">
      <xdr:nvGraphicFramePr>
        <xdr:cNvPr id="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142875</xdr:colOff>
      <xdr:row>235</xdr:row>
      <xdr:rowOff>142875</xdr:rowOff>
    </xdr:from>
    <xdr:to>
      <xdr:col>22</xdr:col>
      <xdr:colOff>0</xdr:colOff>
      <xdr:row>250</xdr:row>
      <xdr:rowOff>19050</xdr:rowOff>
    </xdr:to>
    <xdr:graphicFrame macro="">
      <xdr:nvGraphicFramePr>
        <xdr:cNvPr id="2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39</xdr:row>
      <xdr:rowOff>0</xdr:rowOff>
    </xdr:from>
    <xdr:to>
      <xdr:col>11</xdr:col>
      <xdr:colOff>455083</xdr:colOff>
      <xdr:row>54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485774</xdr:colOff>
      <xdr:row>6</xdr:row>
      <xdr:rowOff>57150</xdr:rowOff>
    </xdr:from>
    <xdr:to>
      <xdr:col>11</xdr:col>
      <xdr:colOff>419100</xdr:colOff>
      <xdr:row>20</xdr:row>
      <xdr:rowOff>123824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19051</xdr:colOff>
      <xdr:row>22</xdr:row>
      <xdr:rowOff>38100</xdr:rowOff>
    </xdr:from>
    <xdr:to>
      <xdr:col>11</xdr:col>
      <xdr:colOff>438151</xdr:colOff>
      <xdr:row>36</xdr:row>
      <xdr:rowOff>133350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56</xdr:row>
      <xdr:rowOff>19050</xdr:rowOff>
    </xdr:from>
    <xdr:to>
      <xdr:col>11</xdr:col>
      <xdr:colOff>447675</xdr:colOff>
      <xdr:row>70</xdr:row>
      <xdr:rowOff>133350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518583</xdr:colOff>
      <xdr:row>90</xdr:row>
      <xdr:rowOff>0</xdr:rowOff>
    </xdr:from>
    <xdr:to>
      <xdr:col>18</xdr:col>
      <xdr:colOff>317501</xdr:colOff>
      <xdr:row>105</xdr:row>
      <xdr:rowOff>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144</xdr:row>
      <xdr:rowOff>0</xdr:rowOff>
    </xdr:from>
    <xdr:to>
      <xdr:col>18</xdr:col>
      <xdr:colOff>317500</xdr:colOff>
      <xdr:row>158</xdr:row>
      <xdr:rowOff>152400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73</xdr:row>
      <xdr:rowOff>20108</xdr:rowOff>
    </xdr:from>
    <xdr:to>
      <xdr:col>11</xdr:col>
      <xdr:colOff>438150</xdr:colOff>
      <xdr:row>88</xdr:row>
      <xdr:rowOff>20108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161</xdr:row>
      <xdr:rowOff>0</xdr:rowOff>
    </xdr:from>
    <xdr:to>
      <xdr:col>18</xdr:col>
      <xdr:colOff>349250</xdr:colOff>
      <xdr:row>175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19050</xdr:colOff>
      <xdr:row>179</xdr:row>
      <xdr:rowOff>190501</xdr:rowOff>
    </xdr:from>
    <xdr:to>
      <xdr:col>18</xdr:col>
      <xdr:colOff>317500</xdr:colOff>
      <xdr:row>195</xdr:row>
      <xdr:rowOff>28576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9526</xdr:colOff>
      <xdr:row>108</xdr:row>
      <xdr:rowOff>9525</xdr:rowOff>
    </xdr:from>
    <xdr:to>
      <xdr:col>11</xdr:col>
      <xdr:colOff>455084</xdr:colOff>
      <xdr:row>123</xdr:row>
      <xdr:rowOff>19050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9525</xdr:colOff>
      <xdr:row>125</xdr:row>
      <xdr:rowOff>9525</xdr:rowOff>
    </xdr:from>
    <xdr:to>
      <xdr:col>11</xdr:col>
      <xdr:colOff>476250</xdr:colOff>
      <xdr:row>140</xdr:row>
      <xdr:rowOff>9525</xdr:rowOff>
    </xdr:to>
    <xdr:graphicFrame macro="">
      <xdr:nvGraphicFramePr>
        <xdr:cNvPr id="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476252</xdr:colOff>
      <xdr:row>6</xdr:row>
      <xdr:rowOff>66675</xdr:rowOff>
    </xdr:from>
    <xdr:to>
      <xdr:col>18</xdr:col>
      <xdr:colOff>304800</xdr:colOff>
      <xdr:row>20</xdr:row>
      <xdr:rowOff>123825</xdr:rowOff>
    </xdr:to>
    <xdr:graphicFrame macro="">
      <xdr:nvGraphicFramePr>
        <xdr:cNvPr id="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495300</xdr:colOff>
      <xdr:row>22</xdr:row>
      <xdr:rowOff>47625</xdr:rowOff>
    </xdr:from>
    <xdr:to>
      <xdr:col>18</xdr:col>
      <xdr:colOff>314325</xdr:colOff>
      <xdr:row>36</xdr:row>
      <xdr:rowOff>142875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504825</xdr:colOff>
      <xdr:row>56</xdr:row>
      <xdr:rowOff>31750</xdr:rowOff>
    </xdr:from>
    <xdr:to>
      <xdr:col>18</xdr:col>
      <xdr:colOff>323850</xdr:colOff>
      <xdr:row>70</xdr:row>
      <xdr:rowOff>146050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507999</xdr:colOff>
      <xdr:row>73</xdr:row>
      <xdr:rowOff>31749</xdr:rowOff>
    </xdr:from>
    <xdr:to>
      <xdr:col>18</xdr:col>
      <xdr:colOff>349249</xdr:colOff>
      <xdr:row>88</xdr:row>
      <xdr:rowOff>31749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1</xdr:colOff>
      <xdr:row>90</xdr:row>
      <xdr:rowOff>21166</xdr:rowOff>
    </xdr:from>
    <xdr:to>
      <xdr:col>11</xdr:col>
      <xdr:colOff>444501</xdr:colOff>
      <xdr:row>105</xdr:row>
      <xdr:rowOff>21166</xdr:rowOff>
    </xdr:to>
    <xdr:graphicFrame macro="">
      <xdr:nvGraphicFramePr>
        <xdr:cNvPr id="1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539750</xdr:colOff>
      <xdr:row>108</xdr:row>
      <xdr:rowOff>0</xdr:rowOff>
    </xdr:from>
    <xdr:to>
      <xdr:col>18</xdr:col>
      <xdr:colOff>329142</xdr:colOff>
      <xdr:row>123</xdr:row>
      <xdr:rowOff>9525</xdr:rowOff>
    </xdr:to>
    <xdr:graphicFrame macro="">
      <xdr:nvGraphicFramePr>
        <xdr:cNvPr id="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518583</xdr:colOff>
      <xdr:row>39</xdr:row>
      <xdr:rowOff>0</xdr:rowOff>
    </xdr:from>
    <xdr:to>
      <xdr:col>18</xdr:col>
      <xdr:colOff>338666</xdr:colOff>
      <xdr:row>54</xdr:row>
      <xdr:rowOff>19050</xdr:rowOff>
    </xdr:to>
    <xdr:graphicFrame macro="">
      <xdr:nvGraphicFramePr>
        <xdr:cNvPr id="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539751</xdr:colOff>
      <xdr:row>125</xdr:row>
      <xdr:rowOff>0</xdr:rowOff>
    </xdr:from>
    <xdr:to>
      <xdr:col>18</xdr:col>
      <xdr:colOff>350310</xdr:colOff>
      <xdr:row>140</xdr:row>
      <xdr:rowOff>0</xdr:rowOff>
    </xdr:to>
    <xdr:graphicFrame macro="">
      <xdr:nvGraphicFramePr>
        <xdr:cNvPr id="2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211666</xdr:colOff>
      <xdr:row>219</xdr:row>
      <xdr:rowOff>190502</xdr:rowOff>
    </xdr:from>
    <xdr:to>
      <xdr:col>18</xdr:col>
      <xdr:colOff>317500</xdr:colOff>
      <xdr:row>233</xdr:row>
      <xdr:rowOff>142875</xdr:rowOff>
    </xdr:to>
    <xdr:graphicFrame macro="">
      <xdr:nvGraphicFramePr>
        <xdr:cNvPr id="2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9525</xdr:colOff>
      <xdr:row>200</xdr:row>
      <xdr:rowOff>2</xdr:rowOff>
    </xdr:from>
    <xdr:to>
      <xdr:col>18</xdr:col>
      <xdr:colOff>317500</xdr:colOff>
      <xdr:row>214</xdr:row>
      <xdr:rowOff>133350</xdr:rowOff>
    </xdr:to>
    <xdr:graphicFrame macro="">
      <xdr:nvGraphicFramePr>
        <xdr:cNvPr id="2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142875</xdr:colOff>
      <xdr:row>235</xdr:row>
      <xdr:rowOff>142875</xdr:rowOff>
    </xdr:from>
    <xdr:to>
      <xdr:col>22</xdr:col>
      <xdr:colOff>0</xdr:colOff>
      <xdr:row>250</xdr:row>
      <xdr:rowOff>19050</xdr:rowOff>
    </xdr:to>
    <xdr:graphicFrame macro="">
      <xdr:nvGraphicFramePr>
        <xdr:cNvPr id="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47</xdr:row>
      <xdr:rowOff>0</xdr:rowOff>
    </xdr:from>
    <xdr:to>
      <xdr:col>11</xdr:col>
      <xdr:colOff>455083</xdr:colOff>
      <xdr:row>62</xdr:row>
      <xdr:rowOff>19050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485774</xdr:colOff>
      <xdr:row>14</xdr:row>
      <xdr:rowOff>57150</xdr:rowOff>
    </xdr:from>
    <xdr:to>
      <xdr:col>11</xdr:col>
      <xdr:colOff>419100</xdr:colOff>
      <xdr:row>28</xdr:row>
      <xdr:rowOff>123824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19051</xdr:colOff>
      <xdr:row>30</xdr:row>
      <xdr:rowOff>38100</xdr:rowOff>
    </xdr:from>
    <xdr:to>
      <xdr:col>11</xdr:col>
      <xdr:colOff>438151</xdr:colOff>
      <xdr:row>44</xdr:row>
      <xdr:rowOff>133350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64</xdr:row>
      <xdr:rowOff>19050</xdr:rowOff>
    </xdr:from>
    <xdr:to>
      <xdr:col>11</xdr:col>
      <xdr:colOff>447675</xdr:colOff>
      <xdr:row>78</xdr:row>
      <xdr:rowOff>133350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518583</xdr:colOff>
      <xdr:row>98</xdr:row>
      <xdr:rowOff>0</xdr:rowOff>
    </xdr:from>
    <xdr:to>
      <xdr:col>18</xdr:col>
      <xdr:colOff>317501</xdr:colOff>
      <xdr:row>113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152</xdr:row>
      <xdr:rowOff>0</xdr:rowOff>
    </xdr:from>
    <xdr:to>
      <xdr:col>18</xdr:col>
      <xdr:colOff>317500</xdr:colOff>
      <xdr:row>166</xdr:row>
      <xdr:rowOff>152400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81</xdr:row>
      <xdr:rowOff>20108</xdr:rowOff>
    </xdr:from>
    <xdr:to>
      <xdr:col>11</xdr:col>
      <xdr:colOff>438150</xdr:colOff>
      <xdr:row>96</xdr:row>
      <xdr:rowOff>20108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169</xdr:row>
      <xdr:rowOff>0</xdr:rowOff>
    </xdr:from>
    <xdr:to>
      <xdr:col>18</xdr:col>
      <xdr:colOff>349250</xdr:colOff>
      <xdr:row>183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19050</xdr:colOff>
      <xdr:row>187</xdr:row>
      <xdr:rowOff>190501</xdr:rowOff>
    </xdr:from>
    <xdr:to>
      <xdr:col>18</xdr:col>
      <xdr:colOff>317500</xdr:colOff>
      <xdr:row>203</xdr:row>
      <xdr:rowOff>28576</xdr:rowOff>
    </xdr:to>
    <xdr:graphicFrame macro="">
      <xdr:nvGraphicFramePr>
        <xdr:cNvPr id="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9526</xdr:colOff>
      <xdr:row>116</xdr:row>
      <xdr:rowOff>9525</xdr:rowOff>
    </xdr:from>
    <xdr:to>
      <xdr:col>11</xdr:col>
      <xdr:colOff>455084</xdr:colOff>
      <xdr:row>131</xdr:row>
      <xdr:rowOff>19050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9525</xdr:colOff>
      <xdr:row>133</xdr:row>
      <xdr:rowOff>9525</xdr:rowOff>
    </xdr:from>
    <xdr:to>
      <xdr:col>11</xdr:col>
      <xdr:colOff>476250</xdr:colOff>
      <xdr:row>148</xdr:row>
      <xdr:rowOff>9525</xdr:rowOff>
    </xdr:to>
    <xdr:graphicFrame macro="">
      <xdr:nvGraphicFramePr>
        <xdr:cNvPr id="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476252</xdr:colOff>
      <xdr:row>14</xdr:row>
      <xdr:rowOff>66675</xdr:rowOff>
    </xdr:from>
    <xdr:to>
      <xdr:col>18</xdr:col>
      <xdr:colOff>304800</xdr:colOff>
      <xdr:row>28</xdr:row>
      <xdr:rowOff>123825</xdr:rowOff>
    </xdr:to>
    <xdr:graphicFrame macro="">
      <xdr:nvGraphicFramePr>
        <xdr:cNvPr id="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495300</xdr:colOff>
      <xdr:row>30</xdr:row>
      <xdr:rowOff>47625</xdr:rowOff>
    </xdr:from>
    <xdr:to>
      <xdr:col>18</xdr:col>
      <xdr:colOff>314325</xdr:colOff>
      <xdr:row>44</xdr:row>
      <xdr:rowOff>142875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504825</xdr:colOff>
      <xdr:row>64</xdr:row>
      <xdr:rowOff>31750</xdr:rowOff>
    </xdr:from>
    <xdr:to>
      <xdr:col>18</xdr:col>
      <xdr:colOff>323850</xdr:colOff>
      <xdr:row>78</xdr:row>
      <xdr:rowOff>146050</xdr:rowOff>
    </xdr:to>
    <xdr:graphicFrame macro="">
      <xdr:nvGraphicFramePr>
        <xdr:cNvPr id="1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507999</xdr:colOff>
      <xdr:row>81</xdr:row>
      <xdr:rowOff>31749</xdr:rowOff>
    </xdr:from>
    <xdr:to>
      <xdr:col>18</xdr:col>
      <xdr:colOff>349249</xdr:colOff>
      <xdr:row>96</xdr:row>
      <xdr:rowOff>31749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1</xdr:colOff>
      <xdr:row>98</xdr:row>
      <xdr:rowOff>21166</xdr:rowOff>
    </xdr:from>
    <xdr:to>
      <xdr:col>11</xdr:col>
      <xdr:colOff>444501</xdr:colOff>
      <xdr:row>113</xdr:row>
      <xdr:rowOff>21166</xdr:rowOff>
    </xdr:to>
    <xdr:graphicFrame macro="">
      <xdr:nvGraphicFramePr>
        <xdr:cNvPr id="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539750</xdr:colOff>
      <xdr:row>116</xdr:row>
      <xdr:rowOff>0</xdr:rowOff>
    </xdr:from>
    <xdr:to>
      <xdr:col>18</xdr:col>
      <xdr:colOff>329142</xdr:colOff>
      <xdr:row>131</xdr:row>
      <xdr:rowOff>9525</xdr:rowOff>
    </xdr:to>
    <xdr:graphicFrame macro="">
      <xdr:nvGraphicFramePr>
        <xdr:cNvPr id="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518583</xdr:colOff>
      <xdr:row>47</xdr:row>
      <xdr:rowOff>0</xdr:rowOff>
    </xdr:from>
    <xdr:to>
      <xdr:col>18</xdr:col>
      <xdr:colOff>338666</xdr:colOff>
      <xdr:row>62</xdr:row>
      <xdr:rowOff>19050</xdr:rowOff>
    </xdr:to>
    <xdr:graphicFrame macro="">
      <xdr:nvGraphicFramePr>
        <xdr:cNvPr id="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539751</xdr:colOff>
      <xdr:row>133</xdr:row>
      <xdr:rowOff>0</xdr:rowOff>
    </xdr:from>
    <xdr:to>
      <xdr:col>18</xdr:col>
      <xdr:colOff>350310</xdr:colOff>
      <xdr:row>148</xdr:row>
      <xdr:rowOff>0</xdr:rowOff>
    </xdr:to>
    <xdr:graphicFrame macro="">
      <xdr:nvGraphicFramePr>
        <xdr:cNvPr id="2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211666</xdr:colOff>
      <xdr:row>207</xdr:row>
      <xdr:rowOff>190502</xdr:rowOff>
    </xdr:from>
    <xdr:to>
      <xdr:col>18</xdr:col>
      <xdr:colOff>317500</xdr:colOff>
      <xdr:row>222</xdr:row>
      <xdr:rowOff>21168</xdr:rowOff>
    </xdr:to>
    <xdr:graphicFrame macro="">
      <xdr:nvGraphicFramePr>
        <xdr:cNvPr id="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15</xdr:row>
      <xdr:rowOff>19050</xdr:rowOff>
    </xdr:from>
    <xdr:to>
      <xdr:col>13</xdr:col>
      <xdr:colOff>9525</xdr:colOff>
      <xdr:row>29</xdr:row>
      <xdr:rowOff>123825</xdr:rowOff>
    </xdr:to>
    <xdr:graphicFrame macro="">
      <xdr:nvGraphicFramePr>
        <xdr:cNvPr id="10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31</xdr:row>
      <xdr:rowOff>38100</xdr:rowOff>
    </xdr:from>
    <xdr:to>
      <xdr:col>12</xdr:col>
      <xdr:colOff>600075</xdr:colOff>
      <xdr:row>45</xdr:row>
      <xdr:rowOff>133350</xdr:rowOff>
    </xdr:to>
    <xdr:graphicFrame macro="">
      <xdr:nvGraphicFramePr>
        <xdr:cNvPr id="10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65</xdr:row>
      <xdr:rowOff>19050</xdr:rowOff>
    </xdr:from>
    <xdr:to>
      <xdr:col>13</xdr:col>
      <xdr:colOff>9525</xdr:colOff>
      <xdr:row>79</xdr:row>
      <xdr:rowOff>133350</xdr:rowOff>
    </xdr:to>
    <xdr:graphicFrame macro="">
      <xdr:nvGraphicFramePr>
        <xdr:cNvPr id="10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99</xdr:row>
      <xdr:rowOff>28575</xdr:rowOff>
    </xdr:from>
    <xdr:to>
      <xdr:col>12</xdr:col>
      <xdr:colOff>571500</xdr:colOff>
      <xdr:row>114</xdr:row>
      <xdr:rowOff>28575</xdr:rowOff>
    </xdr:to>
    <xdr:graphicFrame macro="">
      <xdr:nvGraphicFramePr>
        <xdr:cNvPr id="10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153</xdr:row>
      <xdr:rowOff>0</xdr:rowOff>
    </xdr:from>
    <xdr:to>
      <xdr:col>13</xdr:col>
      <xdr:colOff>19050</xdr:colOff>
      <xdr:row>167</xdr:row>
      <xdr:rowOff>152400</xdr:rowOff>
    </xdr:to>
    <xdr:graphicFrame macro="">
      <xdr:nvGraphicFramePr>
        <xdr:cNvPr id="102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9525</xdr:colOff>
      <xdr:row>82</xdr:row>
      <xdr:rowOff>9525</xdr:rowOff>
    </xdr:from>
    <xdr:to>
      <xdr:col>12</xdr:col>
      <xdr:colOff>600075</xdr:colOff>
      <xdr:row>97</xdr:row>
      <xdr:rowOff>9525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170</xdr:row>
      <xdr:rowOff>0</xdr:rowOff>
    </xdr:from>
    <xdr:to>
      <xdr:col>13</xdr:col>
      <xdr:colOff>19050</xdr:colOff>
      <xdr:row>184</xdr:row>
      <xdr:rowOff>152400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19050</xdr:colOff>
      <xdr:row>188</xdr:row>
      <xdr:rowOff>190500</xdr:rowOff>
    </xdr:from>
    <xdr:to>
      <xdr:col>13</xdr:col>
      <xdr:colOff>19050</xdr:colOff>
      <xdr:row>203</xdr:row>
      <xdr:rowOff>142875</xdr:rowOff>
    </xdr:to>
    <xdr:graphicFrame macro="">
      <xdr:nvGraphicFramePr>
        <xdr:cNvPr id="103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9525</xdr:colOff>
      <xdr:row>117</xdr:row>
      <xdr:rowOff>9525</xdr:rowOff>
    </xdr:from>
    <xdr:to>
      <xdr:col>12</xdr:col>
      <xdr:colOff>600075</xdr:colOff>
      <xdr:row>132</xdr:row>
      <xdr:rowOff>19050</xdr:rowOff>
    </xdr:to>
    <xdr:graphicFrame macro="">
      <xdr:nvGraphicFramePr>
        <xdr:cNvPr id="10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48</xdr:row>
      <xdr:rowOff>0</xdr:rowOff>
    </xdr:from>
    <xdr:to>
      <xdr:col>12</xdr:col>
      <xdr:colOff>581025</xdr:colOff>
      <xdr:row>63</xdr:row>
      <xdr:rowOff>19050</xdr:rowOff>
    </xdr:to>
    <xdr:graphicFrame macro="">
      <xdr:nvGraphicFramePr>
        <xdr:cNvPr id="103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9525</xdr:colOff>
      <xdr:row>134</xdr:row>
      <xdr:rowOff>9525</xdr:rowOff>
    </xdr:from>
    <xdr:to>
      <xdr:col>12</xdr:col>
      <xdr:colOff>600075</xdr:colOff>
      <xdr:row>149</xdr:row>
      <xdr:rowOff>9525</xdr:rowOff>
    </xdr:to>
    <xdr:graphicFrame macro="">
      <xdr:nvGraphicFramePr>
        <xdr:cNvPr id="103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19050</xdr:rowOff>
    </xdr:from>
    <xdr:to>
      <xdr:col>13</xdr:col>
      <xdr:colOff>9525</xdr:colOff>
      <xdr:row>19</xdr:row>
      <xdr:rowOff>123825</xdr:rowOff>
    </xdr:to>
    <xdr:graphicFrame macro="">
      <xdr:nvGraphicFramePr>
        <xdr:cNvPr id="133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21</xdr:row>
      <xdr:rowOff>38100</xdr:rowOff>
    </xdr:from>
    <xdr:to>
      <xdr:col>12</xdr:col>
      <xdr:colOff>600075</xdr:colOff>
      <xdr:row>35</xdr:row>
      <xdr:rowOff>133350</xdr:rowOff>
    </xdr:to>
    <xdr:graphicFrame macro="">
      <xdr:nvGraphicFramePr>
        <xdr:cNvPr id="133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56</xdr:row>
      <xdr:rowOff>19050</xdr:rowOff>
    </xdr:from>
    <xdr:to>
      <xdr:col>13</xdr:col>
      <xdr:colOff>9525</xdr:colOff>
      <xdr:row>70</xdr:row>
      <xdr:rowOff>133350</xdr:rowOff>
    </xdr:to>
    <xdr:graphicFrame macro="">
      <xdr:nvGraphicFramePr>
        <xdr:cNvPr id="133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89</xdr:row>
      <xdr:rowOff>9525</xdr:rowOff>
    </xdr:from>
    <xdr:to>
      <xdr:col>12</xdr:col>
      <xdr:colOff>600075</xdr:colOff>
      <xdr:row>104</xdr:row>
      <xdr:rowOff>9525</xdr:rowOff>
    </xdr:to>
    <xdr:graphicFrame macro="">
      <xdr:nvGraphicFramePr>
        <xdr:cNvPr id="133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124</xdr:row>
      <xdr:rowOff>0</xdr:rowOff>
    </xdr:from>
    <xdr:to>
      <xdr:col>13</xdr:col>
      <xdr:colOff>19050</xdr:colOff>
      <xdr:row>138</xdr:row>
      <xdr:rowOff>152400</xdr:rowOff>
    </xdr:to>
    <xdr:graphicFrame macro="">
      <xdr:nvGraphicFramePr>
        <xdr:cNvPr id="1331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9525</xdr:colOff>
      <xdr:row>72</xdr:row>
      <xdr:rowOff>9525</xdr:rowOff>
    </xdr:from>
    <xdr:to>
      <xdr:col>12</xdr:col>
      <xdr:colOff>600075</xdr:colOff>
      <xdr:row>87</xdr:row>
      <xdr:rowOff>9525</xdr:rowOff>
    </xdr:to>
    <xdr:graphicFrame macro="">
      <xdr:nvGraphicFramePr>
        <xdr:cNvPr id="133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141</xdr:row>
      <xdr:rowOff>0</xdr:rowOff>
    </xdr:from>
    <xdr:to>
      <xdr:col>13</xdr:col>
      <xdr:colOff>19050</xdr:colOff>
      <xdr:row>155</xdr:row>
      <xdr:rowOff>152400</xdr:rowOff>
    </xdr:to>
    <xdr:graphicFrame macro="">
      <xdr:nvGraphicFramePr>
        <xdr:cNvPr id="1331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37</xdr:row>
      <xdr:rowOff>133350</xdr:rowOff>
    </xdr:from>
    <xdr:to>
      <xdr:col>12</xdr:col>
      <xdr:colOff>581025</xdr:colOff>
      <xdr:row>52</xdr:row>
      <xdr:rowOff>76200</xdr:rowOff>
    </xdr:to>
    <xdr:graphicFrame macro="">
      <xdr:nvGraphicFramePr>
        <xdr:cNvPr id="133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9525</xdr:colOff>
      <xdr:row>106</xdr:row>
      <xdr:rowOff>9525</xdr:rowOff>
    </xdr:from>
    <xdr:to>
      <xdr:col>12</xdr:col>
      <xdr:colOff>600075</xdr:colOff>
      <xdr:row>120</xdr:row>
      <xdr:rowOff>114300</xdr:rowOff>
    </xdr:to>
    <xdr:graphicFrame macro="">
      <xdr:nvGraphicFramePr>
        <xdr:cNvPr id="1332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2"/>
  <sheetViews>
    <sheetView tabSelected="1" topLeftCell="A262" workbookViewId="0">
      <selection activeCell="A2" sqref="A2:V2"/>
    </sheetView>
  </sheetViews>
  <sheetFormatPr defaultColWidth="12.85546875" defaultRowHeight="12.75" x14ac:dyDescent="0.2"/>
  <cols>
    <col min="1" max="1" width="12.85546875" style="175"/>
    <col min="2" max="2" width="24.28515625" style="175" customWidth="1"/>
    <col min="3" max="3" width="19.7109375" style="175" bestFit="1" customWidth="1"/>
    <col min="4" max="4" width="22" style="175" bestFit="1" customWidth="1"/>
    <col min="5" max="5" width="6.7109375" style="175" customWidth="1"/>
    <col min="6" max="6" width="8" style="175" customWidth="1"/>
    <col min="7" max="16384" width="12.85546875" style="175"/>
  </cols>
  <sheetData>
    <row r="1" spans="1:22" ht="18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5"/>
      <c r="T1" s="205"/>
      <c r="U1" s="205"/>
      <c r="V1" s="205"/>
    </row>
    <row r="2" spans="1:22" ht="15.75" x14ac:dyDescent="0.25">
      <c r="A2" s="206" t="s">
        <v>156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5"/>
      <c r="T2" s="205"/>
      <c r="U2" s="205"/>
      <c r="V2" s="205"/>
    </row>
    <row r="3" spans="1:22" ht="15.75" x14ac:dyDescent="0.2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6"/>
      <c r="T3" s="186"/>
      <c r="U3" s="186"/>
      <c r="V3" s="186"/>
    </row>
    <row r="4" spans="1:22" ht="15.75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6"/>
      <c r="T4" s="186"/>
      <c r="U4" s="186"/>
      <c r="V4" s="186"/>
    </row>
    <row r="5" spans="1:22" ht="15.75" x14ac:dyDescent="0.25">
      <c r="A5" s="207" t="s">
        <v>12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5"/>
      <c r="T5" s="205"/>
      <c r="U5" s="205"/>
      <c r="V5" s="205"/>
    </row>
    <row r="7" spans="1:22" x14ac:dyDescent="0.2">
      <c r="B7" s="203" t="s">
        <v>5</v>
      </c>
      <c r="C7" s="203"/>
      <c r="D7" s="203"/>
      <c r="F7" s="16"/>
      <c r="T7" s="203" t="s">
        <v>5</v>
      </c>
      <c r="U7" s="203"/>
      <c r="V7" s="203"/>
    </row>
    <row r="8" spans="1:22" ht="24" x14ac:dyDescent="0.2">
      <c r="A8" s="8" t="s">
        <v>1</v>
      </c>
      <c r="B8" s="8" t="s">
        <v>2</v>
      </c>
      <c r="C8" s="8" t="s">
        <v>3</v>
      </c>
      <c r="D8" s="8" t="s">
        <v>4</v>
      </c>
      <c r="E8" s="3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8" t="s">
        <v>9</v>
      </c>
      <c r="U8" s="8" t="s">
        <v>10</v>
      </c>
      <c r="V8" s="8" t="s">
        <v>11</v>
      </c>
    </row>
    <row r="9" spans="1:22" x14ac:dyDescent="0.2">
      <c r="A9" s="9">
        <v>42644</v>
      </c>
      <c r="B9" s="166">
        <v>793286301.62</v>
      </c>
      <c r="C9" s="166">
        <v>204479097.96999997</v>
      </c>
      <c r="D9" s="172">
        <f t="shared" ref="D9:D20" si="0">SUM(B9:C9)</f>
        <v>997765399.58999991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8">
        <f>(B9-'FY2015'!B9)/'FY2015'!B9</f>
        <v>4.5209306705425334E-2</v>
      </c>
      <c r="U9" s="38">
        <f>(C9-'FY2015'!C9)/'FY2015'!C9</f>
        <v>-0.12545272618305336</v>
      </c>
      <c r="V9" s="38">
        <f>(D9-'FY2015'!D9)/'FY2015'!D9</f>
        <v>5.016592293363346E-3</v>
      </c>
    </row>
    <row r="10" spans="1:22" x14ac:dyDescent="0.2">
      <c r="A10" s="9">
        <v>42675</v>
      </c>
      <c r="B10" s="166">
        <v>807129160.13999939</v>
      </c>
      <c r="C10" s="166">
        <v>197626194.56000015</v>
      </c>
      <c r="D10" s="172">
        <f t="shared" si="0"/>
        <v>1004755354.6999996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8">
        <f>(B10-'FY2015'!B10)/'FY2015'!B10</f>
        <v>0.19192017507532011</v>
      </c>
      <c r="U10" s="38">
        <f>(C10-'FY2015'!C10)/'FY2015'!C10</f>
        <v>-0.18283337991207171</v>
      </c>
      <c r="V10" s="38">
        <f>(D10-'FY2015'!D10)/'FY2015'!D10</f>
        <v>9.3301478690805212E-2</v>
      </c>
    </row>
    <row r="11" spans="1:22" x14ac:dyDescent="0.2">
      <c r="A11" s="9">
        <v>42705</v>
      </c>
      <c r="B11" s="166">
        <v>846239245.78000057</v>
      </c>
      <c r="C11" s="166">
        <v>211781464.73999989</v>
      </c>
      <c r="D11" s="172">
        <f t="shared" si="0"/>
        <v>1058020710.5200005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8">
        <f>(B11-'FY2015'!B11)/'FY2015'!B11</f>
        <v>0.15841603156714157</v>
      </c>
      <c r="U11" s="38">
        <f>(C11-'FY2015'!C11)/'FY2015'!C11</f>
        <v>3.7346379056285441E-2</v>
      </c>
      <c r="V11" s="38">
        <f>(D11-'FY2015'!D11)/'FY2015'!D11</f>
        <v>0.13197120883395491</v>
      </c>
    </row>
    <row r="12" spans="1:22" x14ac:dyDescent="0.2">
      <c r="A12" s="9">
        <v>42736</v>
      </c>
      <c r="B12" s="169">
        <v>750873681.9899987</v>
      </c>
      <c r="C12" s="169">
        <v>195252608.97000003</v>
      </c>
      <c r="D12" s="172">
        <f t="shared" si="0"/>
        <v>946126290.95999873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8">
        <f>(B12-'FY2015'!B12)/'FY2015'!B12</f>
        <v>4.4391158077146858E-2</v>
      </c>
      <c r="U12" s="38">
        <f>(C12-'FY2015'!C12)/'FY2015'!C12</f>
        <v>-0.15890628050658531</v>
      </c>
      <c r="V12" s="38">
        <f>(D12-'FY2015'!D12)/'FY2015'!D12</f>
        <v>-5.2290243909121608E-3</v>
      </c>
    </row>
    <row r="13" spans="1:22" x14ac:dyDescent="0.2">
      <c r="A13" s="9">
        <v>42767</v>
      </c>
      <c r="B13" s="169">
        <v>725182331.39000249</v>
      </c>
      <c r="C13" s="169">
        <v>193252193.79000008</v>
      </c>
      <c r="D13" s="172">
        <f t="shared" si="0"/>
        <v>918434525.18000257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8">
        <f>(B13-'FY2015'!B13)/'FY2015'!B13</f>
        <v>8.4633863937641329E-2</v>
      </c>
      <c r="U13" s="38">
        <f>(C13-'FY2015'!C13)/'FY2015'!C13</f>
        <v>-0.10970538059197682</v>
      </c>
      <c r="V13" s="38">
        <f>(D13-'FY2015'!D13)/'FY2015'!D13</f>
        <v>3.7003571789190427E-2</v>
      </c>
    </row>
    <row r="14" spans="1:22" x14ac:dyDescent="0.2">
      <c r="A14" s="9">
        <v>42795</v>
      </c>
      <c r="B14" s="169">
        <v>869453745.50000095</v>
      </c>
      <c r="C14" s="169">
        <v>210074407.88999993</v>
      </c>
      <c r="D14" s="172">
        <f t="shared" si="0"/>
        <v>1079528153.3900008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38">
        <f>(B14-'FY2015'!B14)/'FY2015'!B14</f>
        <v>0.14497050529724312</v>
      </c>
      <c r="U14" s="38">
        <f>(C14-'FY2015'!C14)/'FY2015'!C14</f>
        <v>-6.3903128670576154E-2</v>
      </c>
      <c r="V14" s="38">
        <f>(D14-'FY2015'!D14)/'FY2015'!D14</f>
        <v>9.7323387019003005E-2</v>
      </c>
    </row>
    <row r="15" spans="1:22" x14ac:dyDescent="0.2">
      <c r="A15" s="9">
        <v>42826</v>
      </c>
      <c r="B15" s="170">
        <v>807187526.05000067</v>
      </c>
      <c r="C15" s="169">
        <v>206416212.60999998</v>
      </c>
      <c r="D15" s="172">
        <f t="shared" si="0"/>
        <v>1013603738.6600007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8">
        <f>(B15-'FY2015'!B15)/'FY2015'!B15</f>
        <v>5.81050816072846E-2</v>
      </c>
      <c r="U15" s="38">
        <f>(C15-'FY2015'!C15)/'FY2015'!C15</f>
        <v>-5.7817753302437797E-2</v>
      </c>
      <c r="V15" s="38">
        <f>(D15-'FY2015'!D15)/'FY2015'!D15</f>
        <v>3.2241364787204178E-2</v>
      </c>
    </row>
    <row r="16" spans="1:22" x14ac:dyDescent="0.2">
      <c r="A16" s="9">
        <v>42856</v>
      </c>
      <c r="B16" s="170">
        <v>831607897.24999845</v>
      </c>
      <c r="C16" s="169">
        <v>196416381.89999998</v>
      </c>
      <c r="D16" s="172">
        <f t="shared" si="0"/>
        <v>1028024279.1499984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8">
        <f>(B16-'FY2015'!B16)/'FY2015'!B16</f>
        <v>2.7302300703254137E-2</v>
      </c>
      <c r="U16" s="38">
        <f>(C16-'FY2015'!C16)/'FY2015'!C16</f>
        <v>-0.16650513965495312</v>
      </c>
      <c r="V16" s="38">
        <f>(D16-'FY2015'!D16)/'FY2015'!D16</f>
        <v>-1.6395768033335898E-2</v>
      </c>
    </row>
    <row r="17" spans="1:22" x14ac:dyDescent="0.2">
      <c r="A17" s="9">
        <v>42887</v>
      </c>
      <c r="B17" s="169">
        <v>869146266.43000126</v>
      </c>
      <c r="C17" s="169">
        <v>194439810.34999999</v>
      </c>
      <c r="D17" s="172">
        <f t="shared" si="0"/>
        <v>1063586076.7800013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8">
        <f>(B17-'FY2015'!B17)/'FY2015'!B17</f>
        <v>9.0836919972036995E-2</v>
      </c>
      <c r="U17" s="38">
        <f>(C17-'FY2015'!C17)/'FY2015'!C17</f>
        <v>-5.6378566579016159E-2</v>
      </c>
      <c r="V17" s="38">
        <f>(D17-'FY2015'!D17)/'FY2015'!D17</f>
        <v>6.0587655765939059E-2</v>
      </c>
    </row>
    <row r="18" spans="1:22" x14ac:dyDescent="0.2">
      <c r="A18" s="9">
        <v>42917</v>
      </c>
      <c r="B18" s="169">
        <v>840299778.26000071</v>
      </c>
      <c r="C18" s="169">
        <v>194518268.82999995</v>
      </c>
      <c r="D18" s="172">
        <f t="shared" si="0"/>
        <v>1034818047.0900006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8"/>
      <c r="U18" s="38"/>
      <c r="V18" s="38"/>
    </row>
    <row r="19" spans="1:22" x14ac:dyDescent="0.2">
      <c r="A19" s="9">
        <v>42948</v>
      </c>
      <c r="B19" s="169"/>
      <c r="C19" s="169"/>
      <c r="D19" s="172">
        <f t="shared" si="0"/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8"/>
      <c r="U19" s="38"/>
      <c r="V19" s="38"/>
    </row>
    <row r="20" spans="1:22" x14ac:dyDescent="0.2">
      <c r="A20" s="9">
        <v>42979</v>
      </c>
      <c r="B20" s="169"/>
      <c r="C20" s="169"/>
      <c r="D20" s="172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8"/>
      <c r="U20" s="38"/>
      <c r="V20" s="38"/>
    </row>
    <row r="21" spans="1:22" x14ac:dyDescent="0.2">
      <c r="A21" s="108" t="s">
        <v>155</v>
      </c>
      <c r="B21" s="171">
        <f>SUM(B9:B20)</f>
        <v>8140405934.4100037</v>
      </c>
      <c r="C21" s="171">
        <f>SUM(C9:C20)</f>
        <v>2004256641.6099997</v>
      </c>
      <c r="D21" s="171">
        <f>SUM(D9:D20)</f>
        <v>10144662576.020002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39">
        <f>AVERAGE(T9:T20)</f>
        <v>9.397614921583268E-2</v>
      </c>
      <c r="U21" s="39">
        <f>AVERAGE(U9:U20)</f>
        <v>-9.8239552927153875E-2</v>
      </c>
      <c r="V21" s="39">
        <f>AVERAGE(V9:V20)</f>
        <v>4.8424496306134678E-2</v>
      </c>
    </row>
    <row r="22" spans="1:22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">
      <c r="A23" s="5"/>
      <c r="B23" s="202" t="s">
        <v>6</v>
      </c>
      <c r="C23" s="202"/>
      <c r="D23" s="20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203" t="s">
        <v>6</v>
      </c>
      <c r="U23" s="203"/>
      <c r="V23" s="203"/>
    </row>
    <row r="24" spans="1:22" ht="24" x14ac:dyDescent="0.2">
      <c r="A24" s="187" t="s">
        <v>1</v>
      </c>
      <c r="B24" s="187" t="s">
        <v>2</v>
      </c>
      <c r="C24" s="187" t="s">
        <v>3</v>
      </c>
      <c r="D24" s="187" t="s">
        <v>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8" t="s">
        <v>9</v>
      </c>
      <c r="U24" s="8" t="s">
        <v>10</v>
      </c>
      <c r="V24" s="8" t="s">
        <v>11</v>
      </c>
    </row>
    <row r="25" spans="1:22" x14ac:dyDescent="0.2">
      <c r="A25" s="9">
        <v>42644</v>
      </c>
      <c r="B25" s="167">
        <v>7776507</v>
      </c>
      <c r="C25" s="167">
        <v>3001422</v>
      </c>
      <c r="D25" s="33">
        <f t="shared" ref="D25:D36" si="1">SUM(B25:C25)</f>
        <v>10777929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38">
        <f>(B25-'FY2015'!B25)/'FY2015'!B25</f>
        <v>7.5066876246801348E-2</v>
      </c>
      <c r="U25" s="38">
        <f>(C25-'FY2015'!C25)/'FY2015'!C25</f>
        <v>-9.3940701156881995E-2</v>
      </c>
      <c r="V25" s="38">
        <f>(D25-'FY2015'!D25)/'FY2015'!D25</f>
        <v>2.1980403979814E-2</v>
      </c>
    </row>
    <row r="26" spans="1:22" x14ac:dyDescent="0.2">
      <c r="A26" s="9">
        <v>42675</v>
      </c>
      <c r="B26" s="168">
        <v>7387383</v>
      </c>
      <c r="C26" s="168">
        <v>2886634</v>
      </c>
      <c r="D26" s="33">
        <f t="shared" si="1"/>
        <v>10274017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8">
        <f>(B26-'FY2015'!B26)/'FY2015'!B26</f>
        <v>0.13066362396631603</v>
      </c>
      <c r="U26" s="38">
        <f>(C26-'FY2015'!C26)/'FY2015'!C26</f>
        <v>-0.12051882258277297</v>
      </c>
      <c r="V26" s="38">
        <f>(D26-'FY2015'!D26)/'FY2015'!D26</f>
        <v>4.6674003763904397E-2</v>
      </c>
    </row>
    <row r="27" spans="1:22" x14ac:dyDescent="0.2">
      <c r="A27" s="9">
        <v>42705</v>
      </c>
      <c r="B27" s="168">
        <v>7566257</v>
      </c>
      <c r="C27" s="168">
        <v>2986456</v>
      </c>
      <c r="D27" s="33">
        <f t="shared" si="1"/>
        <v>10552713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38">
        <f>(B27-'FY2015'!B27)/'FY2015'!B27</f>
        <v>0.10919236504001885</v>
      </c>
      <c r="U27" s="38">
        <f>(C27-'FY2015'!C27)/'FY2015'!C27</f>
        <v>9.1746037084452267E-2</v>
      </c>
      <c r="V27" s="38">
        <f>(D27-'FY2015'!D27)/'FY2015'!D27</f>
        <v>0.10419867452793516</v>
      </c>
    </row>
    <row r="28" spans="1:22" x14ac:dyDescent="0.2">
      <c r="A28" s="9">
        <v>42736</v>
      </c>
      <c r="B28" s="13">
        <v>7473496</v>
      </c>
      <c r="C28" s="13">
        <v>2880954</v>
      </c>
      <c r="D28" s="33">
        <f t="shared" si="1"/>
        <v>10354450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8">
        <f>(B28-'FY2015'!B28)/'FY2015'!B28</f>
        <v>5.8333636618151011E-2</v>
      </c>
      <c r="U28" s="38">
        <f>(C28-'FY2015'!C28)/'FY2015'!C28</f>
        <v>-0.10202734356371485</v>
      </c>
      <c r="V28" s="38">
        <f>(D28-'FY2015'!D28)/'FY2015'!D28</f>
        <v>8.2371164697927612E-3</v>
      </c>
    </row>
    <row r="29" spans="1:22" x14ac:dyDescent="0.2">
      <c r="A29" s="9">
        <v>42767</v>
      </c>
      <c r="B29" s="13">
        <v>7331540</v>
      </c>
      <c r="C29" s="13">
        <v>2857428</v>
      </c>
      <c r="D29" s="33">
        <f t="shared" si="1"/>
        <v>10188968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8">
        <f>(B29-'FY2015'!B29)/'FY2015'!B29</f>
        <v>9.4001713028867825E-2</v>
      </c>
      <c r="U29" s="38">
        <f>(C29-'FY2015'!C29)/'FY2015'!C29</f>
        <v>-5.8226005746037278E-2</v>
      </c>
      <c r="V29" s="38">
        <f>(D29-'FY2015'!D29)/'FY2015'!D29</f>
        <v>4.6560427113857897E-2</v>
      </c>
    </row>
    <row r="30" spans="1:22" x14ac:dyDescent="0.2">
      <c r="A30" s="9">
        <v>42795</v>
      </c>
      <c r="B30" s="13">
        <v>8726932</v>
      </c>
      <c r="C30" s="13">
        <v>3193451</v>
      </c>
      <c r="D30" s="33">
        <f t="shared" si="1"/>
        <v>11920383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38">
        <f>(B30-'FY2015'!B30)/'FY2015'!B30</f>
        <v>0.12190844451266537</v>
      </c>
      <c r="U30" s="38">
        <f>(C30-'FY2015'!C30)/'FY2015'!C30</f>
        <v>2.8737109582880727E-2</v>
      </c>
      <c r="V30" s="38">
        <f>(D30-'FY2015'!D30)/'FY2015'!D30</f>
        <v>9.533218786585515E-2</v>
      </c>
    </row>
    <row r="31" spans="1:22" x14ac:dyDescent="0.2">
      <c r="A31" s="9">
        <v>42826</v>
      </c>
      <c r="B31" s="13">
        <v>8046005</v>
      </c>
      <c r="C31" s="13">
        <v>3066080</v>
      </c>
      <c r="D31" s="33">
        <f t="shared" si="1"/>
        <v>11112085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8">
        <f>(B31-'FY2015'!B31)/'FY2015'!B31</f>
        <v>4.8273307585554211E-2</v>
      </c>
      <c r="U31" s="38">
        <f>(C31-'FY2015'!C31)/'FY2015'!C31</f>
        <v>-3.7459008313550375E-2</v>
      </c>
      <c r="V31" s="38">
        <f>(D31-'FY2015'!D31)/'FY2015'!D31</f>
        <v>2.3128776050130716E-2</v>
      </c>
    </row>
    <row r="32" spans="1:22" x14ac:dyDescent="0.2">
      <c r="A32" s="9">
        <v>42856</v>
      </c>
      <c r="B32" s="13">
        <v>8379243</v>
      </c>
      <c r="C32" s="13">
        <v>3016899</v>
      </c>
      <c r="D32" s="33">
        <f t="shared" si="1"/>
        <v>11396142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38">
        <f>(B32-'FY2015'!B32)/'FY2015'!B32</f>
        <v>4.4188231060103819E-2</v>
      </c>
      <c r="U32" s="38">
        <f>(C32-'FY2015'!C32)/'FY2015'!C32</f>
        <v>-0.10339345880301248</v>
      </c>
      <c r="V32" s="38">
        <f>(D32-'FY2015'!D32)/'FY2015'!D32</f>
        <v>5.8800055665574578E-4</v>
      </c>
    </row>
    <row r="33" spans="1:22" x14ac:dyDescent="0.2">
      <c r="A33" s="9">
        <v>42887</v>
      </c>
      <c r="B33" s="13">
        <v>8844579</v>
      </c>
      <c r="C33" s="13">
        <v>2975205</v>
      </c>
      <c r="D33" s="33">
        <f t="shared" si="1"/>
        <v>11819784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38">
        <f>(B33-'FY2015'!B33)/'FY2015'!B33</f>
        <v>0.10494628481136876</v>
      </c>
      <c r="U33" s="38">
        <f>(C33-'FY2015'!C33)/'FY2015'!C33</f>
        <v>-2.069531437464266E-2</v>
      </c>
      <c r="V33" s="38">
        <f>(D33-'FY2015'!D33)/'FY2015'!D33</f>
        <v>7.0379363143430199E-2</v>
      </c>
    </row>
    <row r="34" spans="1:22" x14ac:dyDescent="0.2">
      <c r="A34" s="9">
        <v>42917</v>
      </c>
      <c r="B34" s="13">
        <v>8800812</v>
      </c>
      <c r="C34" s="13">
        <v>2911770</v>
      </c>
      <c r="D34" s="33">
        <f t="shared" si="1"/>
        <v>11712582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38"/>
      <c r="U34" s="38"/>
      <c r="V34" s="38"/>
    </row>
    <row r="35" spans="1:22" x14ac:dyDescent="0.2">
      <c r="A35" s="9">
        <v>42948</v>
      </c>
      <c r="B35" s="13"/>
      <c r="C35" s="13"/>
      <c r="D35" s="33">
        <f t="shared" si="1"/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38"/>
      <c r="U35" s="38"/>
      <c r="V35" s="38"/>
    </row>
    <row r="36" spans="1:22" x14ac:dyDescent="0.2">
      <c r="A36" s="9">
        <v>42979</v>
      </c>
      <c r="B36" s="13"/>
      <c r="C36" s="13"/>
      <c r="D36" s="33">
        <f t="shared" si="1"/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8"/>
      <c r="U36" s="38"/>
      <c r="V36" s="38"/>
    </row>
    <row r="37" spans="1:22" x14ac:dyDescent="0.2">
      <c r="A37" s="108" t="s">
        <v>155</v>
      </c>
      <c r="B37" s="40">
        <f>SUM(B25:B36)</f>
        <v>80332754</v>
      </c>
      <c r="C37" s="40">
        <f>SUM(C25:C36)</f>
        <v>29776299</v>
      </c>
      <c r="D37" s="40">
        <f>SUM(D25:D36)</f>
        <v>110109053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39">
        <f>AVERAGE(T25:T36)</f>
        <v>8.7397164763316368E-2</v>
      </c>
      <c r="U37" s="39">
        <f>AVERAGE(U25:U36)</f>
        <v>-4.6197500874808846E-2</v>
      </c>
      <c r="V37" s="39">
        <f>AVERAGE(V25:V36)</f>
        <v>4.6342105941263999E-2</v>
      </c>
    </row>
    <row r="38" spans="1:22" x14ac:dyDescent="0.2">
      <c r="A38" s="17"/>
      <c r="B38" s="85"/>
      <c r="C38" s="85"/>
      <c r="D38" s="8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51"/>
      <c r="U38" s="51"/>
      <c r="V38" s="51"/>
    </row>
    <row r="39" spans="1:22" x14ac:dyDescent="0.2">
      <c r="A39" s="17"/>
      <c r="B39" s="17"/>
      <c r="C39" s="17"/>
      <c r="D39" s="1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8"/>
      <c r="U39" s="18"/>
      <c r="V39" s="18"/>
    </row>
    <row r="40" spans="1:22" x14ac:dyDescent="0.2">
      <c r="A40" s="5"/>
      <c r="B40" s="202" t="s">
        <v>29</v>
      </c>
      <c r="C40" s="202"/>
      <c r="D40" s="20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203" t="s">
        <v>29</v>
      </c>
      <c r="U40" s="203"/>
      <c r="V40" s="203"/>
    </row>
    <row r="41" spans="1:22" ht="24" x14ac:dyDescent="0.2">
      <c r="A41" s="187" t="s">
        <v>1</v>
      </c>
      <c r="B41" s="187" t="s">
        <v>2</v>
      </c>
      <c r="C41" s="187" t="s">
        <v>3</v>
      </c>
      <c r="D41" s="187" t="s">
        <v>4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8" t="s">
        <v>9</v>
      </c>
      <c r="U41" s="8" t="s">
        <v>10</v>
      </c>
      <c r="V41" s="8" t="s">
        <v>11</v>
      </c>
    </row>
    <row r="42" spans="1:22" x14ac:dyDescent="0.2">
      <c r="A42" s="9">
        <v>42644</v>
      </c>
      <c r="B42" s="194">
        <f>IFERROR(B9/B25,"")</f>
        <v>102.01062014346545</v>
      </c>
      <c r="C42" s="194">
        <f>IFERROR(C9/C25,"")</f>
        <v>68.127406932447343</v>
      </c>
      <c r="D42" s="194">
        <f>IFERROR(D9/D25,"")</f>
        <v>92.574872184628418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38">
        <f>(B42-'FY2015'!B42)/'FY2015'!B42</f>
        <v>-2.7772755538346249E-2</v>
      </c>
      <c r="U42" s="38">
        <f>(C42-'FY2015'!C42)/'FY2015'!C42</f>
        <v>-3.4779208233287659E-2</v>
      </c>
      <c r="V42" s="38">
        <f>(D42-'FY2015'!D42)/'FY2015'!D42</f>
        <v>-1.659895984344685E-2</v>
      </c>
    </row>
    <row r="43" spans="1:22" x14ac:dyDescent="0.2">
      <c r="A43" s="9">
        <v>42675</v>
      </c>
      <c r="B43" s="194">
        <f t="shared" ref="B43:D53" si="2">IFERROR(B10/B26,"")</f>
        <v>109.25779266351825</v>
      </c>
      <c r="C43" s="194">
        <f t="shared" si="2"/>
        <v>68.462504965991585</v>
      </c>
      <c r="D43" s="194">
        <f t="shared" si="2"/>
        <v>97.795765249366397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38">
        <f>(B43-'FY2015'!B43)/'FY2015'!B43</f>
        <v>5.41775200073377E-2</v>
      </c>
      <c r="U43" s="38">
        <f>(C43-'FY2015'!C43)/'FY2015'!C43</f>
        <v>-7.0853770301597493E-2</v>
      </c>
      <c r="V43" s="38">
        <f>(D43-'FY2015'!D43)/'FY2015'!D43</f>
        <v>4.4548230642230097E-2</v>
      </c>
    </row>
    <row r="44" spans="1:22" x14ac:dyDescent="0.2">
      <c r="A44" s="9">
        <v>42705</v>
      </c>
      <c r="B44" s="194">
        <f t="shared" si="2"/>
        <v>111.84384111985629</v>
      </c>
      <c r="C44" s="194">
        <f t="shared" si="2"/>
        <v>70.913974537043202</v>
      </c>
      <c r="D44" s="194">
        <f t="shared" si="2"/>
        <v>100.2605406325369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38">
        <f>(B44-'FY2015'!B44)/'FY2015'!B44</f>
        <v>4.437793486375706E-2</v>
      </c>
      <c r="U44" s="38">
        <f>(C44-'FY2015'!C44)/'FY2015'!C44</f>
        <v>-4.9828125022045443E-2</v>
      </c>
      <c r="V44" s="38">
        <f>(D44-'FY2015'!D44)/'FY2015'!D44</f>
        <v>2.5151754794392349E-2</v>
      </c>
    </row>
    <row r="45" spans="1:22" x14ac:dyDescent="0.2">
      <c r="A45" s="9">
        <v>42736</v>
      </c>
      <c r="B45" s="194">
        <f t="shared" si="2"/>
        <v>100.47154397219168</v>
      </c>
      <c r="C45" s="194">
        <f t="shared" si="2"/>
        <v>67.77359477797981</v>
      </c>
      <c r="D45" s="194">
        <f t="shared" si="2"/>
        <v>91.373881853695636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38">
        <f>(B45-'FY2015'!B45)/'FY2015'!B45</f>
        <v>-1.3173991696566134E-2</v>
      </c>
      <c r="U45" s="38">
        <f>(C45-'FY2015'!C45)/'FY2015'!C45</f>
        <v>-6.3341502143953302E-2</v>
      </c>
      <c r="V45" s="38">
        <f>(D45-'FY2015'!D45)/'FY2015'!D45</f>
        <v>-1.3356124904283133E-2</v>
      </c>
    </row>
    <row r="46" spans="1:22" x14ac:dyDescent="0.2">
      <c r="A46" s="9">
        <v>42767</v>
      </c>
      <c r="B46" s="194">
        <f t="shared" si="2"/>
        <v>98.912688383341361</v>
      </c>
      <c r="C46" s="194">
        <f t="shared" si="2"/>
        <v>67.631518200983564</v>
      </c>
      <c r="D46" s="194">
        <f t="shared" si="2"/>
        <v>90.140093204729126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38">
        <f>(B46-'FY2015'!B46)/'FY2015'!B46</f>
        <v>-8.5629199476209648E-3</v>
      </c>
      <c r="U46" s="38">
        <f>(C46-'FY2015'!C46)/'FY2015'!C46</f>
        <v>-5.4662132486170037E-2</v>
      </c>
      <c r="V46" s="38">
        <f>(D46-'FY2015'!D46)/'FY2015'!D46</f>
        <v>-9.1316803856446652E-3</v>
      </c>
    </row>
    <row r="47" spans="1:22" x14ac:dyDescent="0.2">
      <c r="A47" s="9">
        <v>42795</v>
      </c>
      <c r="B47" s="169">
        <f t="shared" si="2"/>
        <v>99.628798012864195</v>
      </c>
      <c r="C47" s="169">
        <f t="shared" si="2"/>
        <v>65.782881243519924</v>
      </c>
      <c r="D47" s="169">
        <f t="shared" si="2"/>
        <v>90.561532577434875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38">
        <f>(B47-'FY2015'!B47)/'FY2015'!B47</f>
        <v>2.0556098759551965E-2</v>
      </c>
      <c r="U47" s="38">
        <f>(C47-'FY2015'!C47)/'FY2015'!C47</f>
        <v>-9.005239277410669E-2</v>
      </c>
      <c r="V47" s="38">
        <f>(D47-'FY2015'!D47)/'FY2015'!D47</f>
        <v>1.8178952241214863E-3</v>
      </c>
    </row>
    <row r="48" spans="1:22" x14ac:dyDescent="0.2">
      <c r="A48" s="9">
        <v>42826</v>
      </c>
      <c r="B48" s="169">
        <f t="shared" si="2"/>
        <v>100.32152926203757</v>
      </c>
      <c r="C48" s="169">
        <f t="shared" si="2"/>
        <v>67.322513636304336</v>
      </c>
      <c r="D48" s="169">
        <f t="shared" si="2"/>
        <v>91.216341367079238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38">
        <f>(B48-'FY2015'!B48)/'FY2015'!B48</f>
        <v>9.3790178101314722E-3</v>
      </c>
      <c r="U48" s="38">
        <f>(C48-'FY2015'!C48)/'FY2015'!C48</f>
        <v>-2.1151042048835007E-2</v>
      </c>
      <c r="V48" s="38">
        <f>(D48-'FY2015'!D48)/'FY2015'!D48</f>
        <v>8.9065902068099119E-3</v>
      </c>
    </row>
    <row r="49" spans="1:22" x14ac:dyDescent="0.2">
      <c r="A49" s="9">
        <v>42856</v>
      </c>
      <c r="B49" s="169">
        <f t="shared" si="2"/>
        <v>99.24618455986996</v>
      </c>
      <c r="C49" s="169">
        <f t="shared" si="2"/>
        <v>65.105388645758438</v>
      </c>
      <c r="D49" s="169">
        <f t="shared" si="2"/>
        <v>90.208096665520529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38">
        <f>(B49-'FY2015'!B49)/'FY2015'!B49</f>
        <v>-1.6171347133175754E-2</v>
      </c>
      <c r="U49" s="38">
        <f>(C49-'FY2015'!C49)/'FY2015'!C49</f>
        <v>-7.0389494111525425E-2</v>
      </c>
      <c r="V49" s="38">
        <f>(D49-'FY2015'!D49)/'FY2015'!D49</f>
        <v>-1.6973787993203003E-2</v>
      </c>
    </row>
    <row r="50" spans="1:22" x14ac:dyDescent="0.2">
      <c r="A50" s="9">
        <v>42887</v>
      </c>
      <c r="B50" s="169">
        <f t="shared" si="2"/>
        <v>98.268811486674636</v>
      </c>
      <c r="C50" s="169">
        <f t="shared" si="2"/>
        <v>65.353416100739281</v>
      </c>
      <c r="D50" s="169">
        <f t="shared" si="2"/>
        <v>89.983545958200366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38">
        <f>(B50-'FY2015'!B50)/'FY2015'!B50</f>
        <v>-1.2769276690894043E-2</v>
      </c>
      <c r="U50" s="38">
        <f>(C50-'FY2015'!C50)/'FY2015'!C50</f>
        <v>-3.643733429253123E-2</v>
      </c>
      <c r="V50" s="38">
        <f>(D50-'FY2015'!D50)/'FY2015'!D50</f>
        <v>-9.1478850533284525E-3</v>
      </c>
    </row>
    <row r="51" spans="1:22" x14ac:dyDescent="0.2">
      <c r="A51" s="9">
        <v>42917</v>
      </c>
      <c r="B51" s="86">
        <f t="shared" si="2"/>
        <v>95.479800984272899</v>
      </c>
      <c r="C51" s="86">
        <f t="shared" si="2"/>
        <v>66.804132479557097</v>
      </c>
      <c r="D51" s="86">
        <f t="shared" si="2"/>
        <v>88.350975650800194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38"/>
      <c r="U51" s="38"/>
      <c r="V51" s="38"/>
    </row>
    <row r="52" spans="1:22" x14ac:dyDescent="0.2">
      <c r="A52" s="9">
        <v>42948</v>
      </c>
      <c r="B52" s="86" t="str">
        <f t="shared" si="2"/>
        <v/>
      </c>
      <c r="C52" s="86" t="str">
        <f t="shared" si="2"/>
        <v/>
      </c>
      <c r="D52" s="86" t="str">
        <f t="shared" si="2"/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38"/>
      <c r="U52" s="38"/>
      <c r="V52" s="38"/>
    </row>
    <row r="53" spans="1:22" x14ac:dyDescent="0.2">
      <c r="A53" s="9">
        <v>42979</v>
      </c>
      <c r="B53" s="86" t="str">
        <f t="shared" si="2"/>
        <v/>
      </c>
      <c r="C53" s="86" t="str">
        <f t="shared" si="2"/>
        <v/>
      </c>
      <c r="D53" s="86" t="str">
        <f t="shared" si="2"/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38"/>
      <c r="U53" s="38"/>
      <c r="V53" s="38"/>
    </row>
    <row r="54" spans="1:22" x14ac:dyDescent="0.2">
      <c r="A54" s="108" t="s">
        <v>155</v>
      </c>
      <c r="B54" s="87">
        <f>B21/B37</f>
        <v>101.33358473444099</v>
      </c>
      <c r="C54" s="87">
        <f>C21/C37</f>
        <v>67.310468692230685</v>
      </c>
      <c r="D54" s="87">
        <f>D21/D37</f>
        <v>92.132865551209505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39">
        <f>AVERAGE(T42:T53)</f>
        <v>5.5600311593527844E-3</v>
      </c>
      <c r="U54" s="39">
        <f>AVERAGE(U42:U53)</f>
        <v>-5.4610555712672475E-2</v>
      </c>
      <c r="V54" s="39">
        <f>AVERAGE(V42:V53)</f>
        <v>1.6906702986275264E-3</v>
      </c>
    </row>
    <row r="55" spans="1:22" x14ac:dyDescent="0.2">
      <c r="A55" s="17"/>
      <c r="B55" s="84"/>
      <c r="C55" s="84"/>
      <c r="D55" s="8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18"/>
      <c r="U55" s="18"/>
      <c r="V55" s="18"/>
    </row>
    <row r="56" spans="1:2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">
      <c r="A57" s="5"/>
      <c r="B57" s="202" t="s">
        <v>7</v>
      </c>
      <c r="C57" s="202"/>
      <c r="D57" s="20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203" t="s">
        <v>7</v>
      </c>
      <c r="U57" s="203"/>
      <c r="V57" s="203"/>
    </row>
    <row r="58" spans="1:22" ht="24" x14ac:dyDescent="0.2">
      <c r="A58" s="187" t="s">
        <v>1</v>
      </c>
      <c r="B58" s="187" t="s">
        <v>2</v>
      </c>
      <c r="C58" s="187" t="s">
        <v>3</v>
      </c>
      <c r="D58" s="187" t="s">
        <v>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8" t="s">
        <v>9</v>
      </c>
      <c r="U58" s="8" t="s">
        <v>10</v>
      </c>
      <c r="V58" s="8" t="s">
        <v>11</v>
      </c>
    </row>
    <row r="59" spans="1:22" x14ac:dyDescent="0.2">
      <c r="A59" s="9">
        <v>42644</v>
      </c>
      <c r="B59" s="191">
        <f>10051520.6+341123.96+2787881.51+79315.1+112355.88+99062.39+176066.44</f>
        <v>13647325.880000001</v>
      </c>
      <c r="C59" s="172">
        <f>13540.21+1.91+0.28+33258.46+39.07+7017.84+19779.37+519570.42+2185.01+883.27+2107.98+13843.23+211.12+5181.91+29.93+1182.01+10602.79+24.71+623.49+18448.74+38.14+254.33+0.22+0.24+33.44+1650.25-44.14+19407.56+8067.35+82923.93</f>
        <v>760863.06999999983</v>
      </c>
      <c r="D59" s="172">
        <f t="shared" ref="D59:D64" si="3">SUM(B59:C59)</f>
        <v>14408188.950000001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38">
        <f>(B59-'FY2015'!B59)/'FY2015'!B59</f>
        <v>8.2690451149019545E-2</v>
      </c>
      <c r="U59" s="38">
        <f>(C59-'FY2015'!C59)/'FY2015'!C59</f>
        <v>-0.12465257783230438</v>
      </c>
      <c r="V59" s="38">
        <f>(D59-'FY2015'!D59)/'FY2015'!D59</f>
        <v>6.9314899284845341E-2</v>
      </c>
    </row>
    <row r="60" spans="1:22" x14ac:dyDescent="0.2">
      <c r="A60" s="9">
        <v>42675</v>
      </c>
      <c r="B60" s="191">
        <f>10276710.13+388548.95+2790737.18+85076.53+120519.23+114581.7+203649.97</f>
        <v>13979823.689999999</v>
      </c>
      <c r="C60" s="172">
        <f>16596.58+165.46+6.17+35923.64+30.14+7219.7+19818.76+523951.36+2118.26+780.86+2051.51+0.23+14335.09+384.81+5539.41+119.23+1156.94+24.17+1010.77+21007.94+179.64+381.39+1.07+654.53-59.37+14351.96+6098.26+63698.79</f>
        <v>737547.29999999993</v>
      </c>
      <c r="D60" s="172">
        <f t="shared" si="3"/>
        <v>14717370.99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38">
        <f>(B60-'FY2015'!B60)/'FY2015'!B60</f>
        <v>0.26068166501665602</v>
      </c>
      <c r="U60" s="38">
        <f>(C60-'FY2015'!C60)/'FY2015'!C60</f>
        <v>-0.12045757695747118</v>
      </c>
      <c r="V60" s="38">
        <f>(D60-'FY2015'!D60)/'FY2015'!D60</f>
        <v>0.2338861805018658</v>
      </c>
    </row>
    <row r="61" spans="1:22" x14ac:dyDescent="0.2">
      <c r="A61" s="9">
        <v>42705</v>
      </c>
      <c r="B61" s="191">
        <f>10748518.7500001+380387.22+2857741.03+95616.49+135453.8+138145.39+245488.08</f>
        <v>14601350.760000102</v>
      </c>
      <c r="C61" s="172">
        <f>13258.47+38482.39+23.93+7669.42+21088.69+543987.66+2405.29+880.25+2137.75+14648.01+252.03+5393.59+38.7+1227.69+9262.38+26.83+665.48+19613.6+47.3+214.54+1.28+1119.49+13804.75+8283.89+86392.26</f>
        <v>790925.67</v>
      </c>
      <c r="D61" s="172">
        <f t="shared" si="3"/>
        <v>15392276.430000102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38">
        <f>(B61-'FY2015'!B61)/'FY2015'!B61</f>
        <v>0.23156260059318087</v>
      </c>
      <c r="U61" s="38">
        <f>(C61-'FY2015'!C61)/'FY2015'!C61</f>
        <v>7.823688674949851E-2</v>
      </c>
      <c r="V61" s="38">
        <f>(D61-'FY2015'!D61)/'FY2015'!D61</f>
        <v>0.22262896348945185</v>
      </c>
    </row>
    <row r="62" spans="1:22" x14ac:dyDescent="0.2">
      <c r="A62" s="9">
        <v>42736</v>
      </c>
      <c r="B62" s="191">
        <f>9613755.54000008+2527058.9+315404.28+74903.08+106112.76+97581.07+173477.47</f>
        <v>12908293.10000008</v>
      </c>
      <c r="C62" s="191">
        <f>11557.83+0.53+34358.39+21.56+5941.93+14531.92+513377.02+2151.23+749.56+1604.78+0.52+9520.19+215.43+4840.4+34.52+1119.79+8298.23+22+597.07+16607.72+45.16+174.07+1.84+0.48+18339.86-74.95+12716.11+7613.79+75293.05</f>
        <v>739660.03000000014</v>
      </c>
      <c r="D62" s="172">
        <f t="shared" si="3"/>
        <v>13647953.130000079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38">
        <f>(B62-'FY2015'!B62)/'FY2015'!B62</f>
        <v>0.12032276387370014</v>
      </c>
      <c r="U62" s="38">
        <f>(C62-'FY2015'!C62)/'FY2015'!C62</f>
        <v>-0.122135548385223</v>
      </c>
      <c r="V62" s="38">
        <f>(D62-'FY2015'!D62)/'FY2015'!D62</f>
        <v>0.10380067707906931</v>
      </c>
    </row>
    <row r="63" spans="1:22" x14ac:dyDescent="0.2">
      <c r="A63" s="9">
        <v>42767</v>
      </c>
      <c r="B63" s="191">
        <f>9330892.49000001+298955.02+2381863.27+67928.47+96232.08+86798.78+154309.04</f>
        <v>12416979.150000008</v>
      </c>
      <c r="C63" s="191">
        <f>11286.55+1.07+34405.01+18.7+5740.9+14168.22+517365.32+2654.55+745.42+1501.11+9293.92+215.56+4941.13+34.25+1059.75+8226.36+24.59+587.28+15853.3+40.63+173.49+1.09+0.33+18827.23-72.01+12794.95+7558.23+74709.76</f>
        <v>742156.69000000006</v>
      </c>
      <c r="D63" s="172">
        <f t="shared" si="3"/>
        <v>13159135.840000007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38">
        <f>(B63-'FY2015'!B63)/'FY2015'!B63</f>
        <v>0.17061976962729969</v>
      </c>
      <c r="U63" s="38">
        <f>(C63-'FY2015'!C63)/'FY2015'!C63</f>
        <v>-4.4705291246219483E-2</v>
      </c>
      <c r="V63" s="38">
        <f>(D63-'FY2015'!D63)/'FY2015'!D63</f>
        <v>0.15592525667503856</v>
      </c>
    </row>
    <row r="64" spans="1:22" x14ac:dyDescent="0.2">
      <c r="A64" s="9">
        <v>42795</v>
      </c>
      <c r="B64" s="191">
        <f>14098049.0800001+387738.88+82118.48+116334.5+102968.08+183054.28</f>
        <v>14970263.300000101</v>
      </c>
      <c r="C64" s="191">
        <f>12449.06+1.67+38900.96+15.91+6353.06+16044.94+578200.4+3875.1+939.11+1774.74+0.23+10477.49+236.25+5608.92+40.43+1153.92+9845.4+28.82+653.79+17529.44+54.31+187.88+1.74+3.7+21009.09-145.59+14245.9+8420.63+82685.74</f>
        <v>830593.04</v>
      </c>
      <c r="D64" s="172">
        <f t="shared" si="3"/>
        <v>15800856.3400001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38">
        <f>(B64-'FY2015'!B64)/'FY2015'!B64</f>
        <v>0.2221611097081988</v>
      </c>
      <c r="U64" s="38">
        <f>(C64-'FY2015'!C64)/'FY2015'!C64</f>
        <v>2.4157625780697671E-3</v>
      </c>
      <c r="V64" s="38">
        <f>(D64-'FY2015'!D64)/'FY2015'!D64</f>
        <v>0.20823813598713042</v>
      </c>
    </row>
    <row r="65" spans="1:22" x14ac:dyDescent="0.2">
      <c r="A65" s="9">
        <v>42826</v>
      </c>
      <c r="B65" s="191">
        <f>2526681.16+10388396.0200001+346793.99+82011.09+116182.39+105818.58+188121.85</f>
        <v>13754005.080000101</v>
      </c>
      <c r="C65" s="191">
        <f>10768.59+1.83+37226.69+8.21+6020.21+15063.54+553578.37+3801.97+872.41+1714.88+0.24+10001.33+237.86+5358.91+1090.58+9202.21+28.05+621.27+3564+18249.72+44.89+165.89+2.21+17.11+19999.77-51.29+13825.95+8171.16+79075.59</f>
        <v>798662.14999999979</v>
      </c>
      <c r="D65" s="172">
        <f t="shared" ref="D65:D70" si="4">SUM(B65:C65)</f>
        <v>14552667.230000101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38">
        <f>(B65-'FY2015'!B65)/'FY2015'!B65</f>
        <v>8.1483912129939592E-2</v>
      </c>
      <c r="U65" s="38">
        <f>(C65-'FY2015'!C65)/'FY2015'!C65</f>
        <v>-4.5306643940692677E-2</v>
      </c>
      <c r="V65" s="38">
        <f>(D65-'FY2015'!D65)/'FY2015'!D65</f>
        <v>7.3658456027612396E-2</v>
      </c>
    </row>
    <row r="66" spans="1:22" x14ac:dyDescent="0.2">
      <c r="A66" s="9">
        <v>42856</v>
      </c>
      <c r="B66" s="195">
        <f>10480147.8300001+362164.7+2674798.65+103189.29+146184.85+139301.03+247646.07</f>
        <v>14153432.420000099</v>
      </c>
      <c r="C66" s="191">
        <f>10416.46+1.51+37545.21+8.5+6012.33+15162.01+540208.77+3614.92+798.1+1664.54+10228.51+232.65+5271.11+37.8+1037.64+8834.61+28.34+581.16+18426.09+51.62+165.7+1.26+19594.94-122.64+13550.82+8033.67+79896.53</f>
        <v>781282.16</v>
      </c>
      <c r="D66" s="172">
        <f t="shared" si="4"/>
        <v>14934714.580000099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38">
        <f>(B66-'FY2015'!B66)/'FY2015'!B66</f>
        <v>4.9100260643535093E-2</v>
      </c>
      <c r="U66" s="38">
        <f>(C66-'FY2015'!C66)/'FY2015'!C66</f>
        <v>-0.11674594767851158</v>
      </c>
      <c r="V66" s="38">
        <f>(D66-'FY2015'!D66)/'FY2015'!D66</f>
        <v>3.8895501600789154E-2</v>
      </c>
    </row>
    <row r="67" spans="1:22" x14ac:dyDescent="0.2">
      <c r="A67" s="9">
        <v>42887</v>
      </c>
      <c r="B67" s="191">
        <v>14870684.749999963</v>
      </c>
      <c r="C67" s="191">
        <f>10338.26+5.3+0.73+36699.31+12.14+1.96+7.46+19260.75+1.72+13363.02+8126.32+79362.29+5911.41+14935.7+534197.14+3813.21+846.61+1612.53+0.87+10269.96+255.58+5297.69+65.53+1069.87+8129.26+26.12+596.23+18229.32+70.5+173.76</f>
        <v>772680.54999999981</v>
      </c>
      <c r="D67" s="172">
        <f t="shared" si="4"/>
        <v>15643365.299999963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8">
        <f>(B67-'FY2015'!B67)/'FY2015'!B67</f>
        <v>0.1231065047967011</v>
      </c>
      <c r="U67" s="38">
        <f>(C67-'FY2015'!C67)/'FY2015'!C67</f>
        <v>-2.3469844445964734E-2</v>
      </c>
      <c r="V67" s="38">
        <f>(D67-'FY2015'!D67)/'FY2015'!D67</f>
        <v>0.11484115897728069</v>
      </c>
    </row>
    <row r="68" spans="1:22" x14ac:dyDescent="0.2">
      <c r="A68" s="9">
        <v>42917</v>
      </c>
      <c r="B68" s="198">
        <v>14316481.37000002</v>
      </c>
      <c r="C68" s="198">
        <f>11.54+1.69+24.47+71.6+213.75+0.13+54.91+66.86+0.65+51.38+109+385.42-98.56+247.19+8.75+100.37+9602.2+15.03+0.53+35103.71+17.91+5813.88+13965.86+510936.59+3713.51+777.96+1474.3+0.23+9645.98+280.43+5207.51+337.42+1039.31+7519.2+26.32+574.94+17770.13+69.26+144.95+1.21+0.32+18060.64+32.65+12747.25+8597.86+75519.46</f>
        <v>740245.69999999984</v>
      </c>
      <c r="D68" s="199">
        <f t="shared" si="4"/>
        <v>15056727.070000019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38"/>
      <c r="U68" s="38"/>
      <c r="V68" s="38"/>
    </row>
    <row r="69" spans="1:22" x14ac:dyDescent="0.2">
      <c r="A69" s="9">
        <v>42948</v>
      </c>
      <c r="B69" s="43"/>
      <c r="C69" s="43"/>
      <c r="D69" s="41">
        <f t="shared" si="4"/>
        <v>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38"/>
      <c r="U69" s="38"/>
      <c r="V69" s="38"/>
    </row>
    <row r="70" spans="1:22" x14ac:dyDescent="0.2">
      <c r="A70" s="9">
        <v>42979</v>
      </c>
      <c r="B70" s="43"/>
      <c r="C70" s="43"/>
      <c r="D70" s="41">
        <f t="shared" si="4"/>
        <v>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38"/>
      <c r="U70" s="38"/>
      <c r="V70" s="38"/>
    </row>
    <row r="71" spans="1:22" x14ac:dyDescent="0.2">
      <c r="A71" s="108" t="s">
        <v>155</v>
      </c>
      <c r="B71" s="42">
        <f>SUM(B59:B70)</f>
        <v>139618639.50000048</v>
      </c>
      <c r="C71" s="42">
        <f>SUM(C59:C70)</f>
        <v>7694616.3599999994</v>
      </c>
      <c r="D71" s="42">
        <f>SUM(D59:D70)</f>
        <v>147313255.86000046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39">
        <f>AVERAGE(T59:T70)</f>
        <v>0.14908100417091452</v>
      </c>
      <c r="U71" s="39">
        <f>AVERAGE(U59:U70)</f>
        <v>-5.7424531239868758E-2</v>
      </c>
      <c r="V71" s="39">
        <f>AVERAGE(V59:V70)</f>
        <v>0.1356876921803426</v>
      </c>
    </row>
    <row r="72" spans="1:22" x14ac:dyDescent="0.2">
      <c r="A72" s="80"/>
      <c r="B72" s="76"/>
      <c r="C72" s="76"/>
      <c r="D72" s="7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51"/>
      <c r="U72" s="51"/>
      <c r="V72" s="51"/>
    </row>
    <row r="73" spans="1:22" x14ac:dyDescent="0.2">
      <c r="A73" s="17"/>
      <c r="B73" s="17"/>
      <c r="C73" s="17"/>
      <c r="D73" s="1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8"/>
      <c r="U73" s="18"/>
      <c r="V73" s="18"/>
    </row>
    <row r="74" spans="1:22" x14ac:dyDescent="0.2">
      <c r="A74" s="19"/>
      <c r="B74" s="208" t="s">
        <v>20</v>
      </c>
      <c r="C74" s="208"/>
      <c r="D74" s="208"/>
      <c r="E74" s="19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209" t="s">
        <v>20</v>
      </c>
      <c r="U74" s="209"/>
      <c r="V74" s="209"/>
    </row>
    <row r="75" spans="1:22" ht="24" x14ac:dyDescent="0.2">
      <c r="A75" s="183" t="s">
        <v>1</v>
      </c>
      <c r="B75" s="183" t="s">
        <v>2</v>
      </c>
      <c r="C75" s="100" t="s">
        <v>3</v>
      </c>
      <c r="D75" s="187" t="s">
        <v>4</v>
      </c>
      <c r="E75" s="19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8" t="s">
        <v>9</v>
      </c>
      <c r="U75" s="8" t="s">
        <v>10</v>
      </c>
      <c r="V75" s="54"/>
    </row>
    <row r="76" spans="1:22" x14ac:dyDescent="0.2">
      <c r="A76" s="9">
        <v>42644</v>
      </c>
      <c r="B76" s="191">
        <f>39509.85+638001.64+936332.17+5581.9+365.24+26.3+129.92+131.41+24.7+6219.66+516.22+6.79+131.4+2560.9+57.58-79315.1-112355.88-99062.39-176066.44</f>
        <v>1162795.8699999999</v>
      </c>
      <c r="C76" s="191">
        <f>867900.2-C59-33976.39</f>
        <v>73060.740000000122</v>
      </c>
      <c r="D76" s="191">
        <f>B76+C76</f>
        <v>1235856.6100000001</v>
      </c>
      <c r="E76" s="19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38">
        <f>(B76-'FY2015'!B76)/'FY2015'!B76</f>
        <v>0.2284654175878649</v>
      </c>
      <c r="U76" s="38">
        <f>(C76-'FY2015'!C76)/'FY2015'!C76</f>
        <v>-0.28120605044040659</v>
      </c>
      <c r="V76" s="26"/>
    </row>
    <row r="77" spans="1:22" x14ac:dyDescent="0.2">
      <c r="A77" s="9">
        <v>42675</v>
      </c>
      <c r="B77" s="191">
        <f>47670.11+687899.28+944035.86+5589.25+329.34+18.2+110.66+180.64+24.25+5631.17+526+5.53+108.46+2122.33+46.83</f>
        <v>1694297.91</v>
      </c>
      <c r="C77" s="191">
        <f>865639.17-C60-32643.83</f>
        <v>95448.04000000011</v>
      </c>
      <c r="D77" s="191">
        <f t="shared" ref="D77:D87" si="5">B77+C77</f>
        <v>1789745.95</v>
      </c>
      <c r="E77" s="19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38">
        <f>(B77-'FY2015'!B77)/'FY2015'!B77</f>
        <v>0.99264793976731625</v>
      </c>
      <c r="U77" s="38">
        <f>(C77-'FY2015'!C77)/'FY2015'!C77</f>
        <v>-1.9012836344444652E-2</v>
      </c>
      <c r="V77" s="26"/>
    </row>
    <row r="78" spans="1:22" x14ac:dyDescent="0.2">
      <c r="A78" s="9">
        <v>42705</v>
      </c>
      <c r="B78" s="191">
        <f>50439.54+777582.41+984786.77+6698.01+435.63+20.3+122.1+176.46+26.75+6134.04+560.4+6.2+111.7+2146.62+47.61-95616.49-135453.8-138145.39-245488.08</f>
        <v>1214590.7800000003</v>
      </c>
      <c r="C78" s="191">
        <f>902777.54-C61-33923.71</f>
        <v>77928.160000000003</v>
      </c>
      <c r="D78" s="191">
        <f t="shared" si="5"/>
        <v>1292518.9400000002</v>
      </c>
      <c r="E78" s="19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38">
        <f>(B78-'FY2015'!B78)/'FY2015'!B78</f>
        <v>0.32487853124504762</v>
      </c>
      <c r="U78" s="38">
        <f>(C78-'FY2015'!C78)/'FY2015'!C78</f>
        <v>-4.6024031017620801E-2</v>
      </c>
      <c r="V78" s="26"/>
    </row>
    <row r="79" spans="1:22" x14ac:dyDescent="0.2">
      <c r="A79" s="9">
        <v>42736</v>
      </c>
      <c r="B79" s="191">
        <f>44687.7+642276.06+894348.47+5625.46+328.83-14.2-98.25-217.69-23.58-5466.47-519.5-4.92-93.32-2081.19-42.36-173477.47-97581.07-74903.08-106112.76</f>
        <v>1126630.6599999999</v>
      </c>
      <c r="C79" s="191">
        <f>844103.8-C62-36521.16</f>
        <v>67922.609999999899</v>
      </c>
      <c r="D79" s="191">
        <f t="shared" si="5"/>
        <v>1194553.2699999998</v>
      </c>
      <c r="E79" s="1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38">
        <f>(B79-'FY2015'!B79)/'FY2015'!B79</f>
        <v>0.17466862781428852</v>
      </c>
      <c r="U79" s="38">
        <f>(C79-'FY2015'!C79)/'FY2015'!C79</f>
        <v>-0.28863030462985267</v>
      </c>
      <c r="V79" s="26"/>
    </row>
    <row r="80" spans="1:22" x14ac:dyDescent="0.2">
      <c r="A80" s="9">
        <v>42767</v>
      </c>
      <c r="B80" s="191">
        <f>584091.75+866735.74+5607.17+383.31+18.7+117.23+236.78+26.34+6189.67+544.83+81.19+1569.4+36.94-67928.47-96232.08-86798.78-154309.04</f>
        <v>1060370.6799999997</v>
      </c>
      <c r="C80" s="196">
        <f>847028.32-C63-37341.31</f>
        <v>67530.319999999891</v>
      </c>
      <c r="D80" s="191">
        <f t="shared" si="5"/>
        <v>1127900.9999999995</v>
      </c>
      <c r="E80" s="19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38">
        <f>(B80-'FY2015'!B80)/'FY2015'!B80</f>
        <v>0.12745219126030644</v>
      </c>
      <c r="U80" s="38">
        <f>(C80-'FY2015'!C80)/'FY2015'!C80</f>
        <v>-0.13804402655726086</v>
      </c>
      <c r="V80" s="26"/>
    </row>
    <row r="81" spans="1:22" x14ac:dyDescent="0.2">
      <c r="A81" s="9">
        <v>42795</v>
      </c>
      <c r="B81" s="191">
        <f>53676.42+717968.2+1023813.7-33.3-148.16-2554.38-32.37-8172.98-627.01-6.71-106.42-2013.91-47.41-82118.48-116334.5-102968.08-183054.28</f>
        <v>1297240.33</v>
      </c>
      <c r="C81" s="196">
        <f>953531.44-C64-41622.41</f>
        <v>81315.989999999903</v>
      </c>
      <c r="D81" s="191">
        <f t="shared" si="5"/>
        <v>1378556.32</v>
      </c>
      <c r="E81" s="1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38">
        <f>(B81-'FY2015'!B81)/'FY2015'!B81</f>
        <v>0.23774670999510528</v>
      </c>
      <c r="U81" s="38">
        <f>(C81-'FY2015'!C81)/'FY2015'!C81</f>
        <v>-8.686075837640525E-2</v>
      </c>
      <c r="V81" s="26"/>
    </row>
    <row r="82" spans="1:22" x14ac:dyDescent="0.2">
      <c r="A82" s="9">
        <v>42826</v>
      </c>
      <c r="B82" s="191">
        <f>50114.51+707625.51+953793.69+6090.53+389.64+17.1+141.58+218.51+26.72+6489.2+527.57+5.11+77.66+2025.84+35.77-82011.09-116182.39-105818.58-188121.85</f>
        <v>1235445.03</v>
      </c>
      <c r="C82" s="196">
        <f>914957.02-C65-39966.91</f>
        <v>76327.960000000225</v>
      </c>
      <c r="D82" s="191">
        <f t="shared" si="5"/>
        <v>1311772.9900000002</v>
      </c>
      <c r="E82" s="19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38">
        <f>(B82-'FY2015'!B82)/'FY2015'!B82</f>
        <v>0.17697570187265085</v>
      </c>
      <c r="U82" s="38">
        <f>(C82-'FY2015'!C82)/'FY2015'!C82</f>
        <v>-0.13732984187272745</v>
      </c>
      <c r="V82" s="26"/>
    </row>
    <row r="83" spans="1:22" x14ac:dyDescent="0.2">
      <c r="A83" s="9">
        <v>42856</v>
      </c>
      <c r="B83" s="191">
        <f>56800.74+872824.93+993269.62+5817.48+409.97-15.1-126.78-237.75-30.71-7307.61-582.27-5.58-83.23-1870.02-39.1-103189.29-146184.85-139301.03-247646.07</f>
        <v>1282503.3499999994</v>
      </c>
      <c r="C83" s="196">
        <f>893869.78-C66-39340.09</f>
        <v>73247.53</v>
      </c>
      <c r="D83" s="191">
        <f t="shared" si="5"/>
        <v>1355750.8799999994</v>
      </c>
      <c r="E83" s="19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38">
        <f>(B83-'FY2015'!B83)/'FY2015'!B83</f>
        <v>0.14913466577651111</v>
      </c>
      <c r="U83" s="38">
        <f>(C83-'FY2015'!C83)/'FY2015'!C83</f>
        <v>-0.20261822195829357</v>
      </c>
      <c r="V83" s="26"/>
    </row>
    <row r="84" spans="1:22" x14ac:dyDescent="0.2">
      <c r="A84" s="9">
        <v>42887</v>
      </c>
      <c r="B84" s="191">
        <f>61034.41+911240.4+1033023.49+5939.02+394.92+30.4+276.48+116.36+27.02+6889.06+469.35+5.63+83.27+1668+38.67-108275.35-153390.14-144683.81-257215.51</f>
        <v>1357671.6699999997</v>
      </c>
      <c r="C84" s="196">
        <f>887271.77-C67-38819.49</f>
        <v>75771.730000000214</v>
      </c>
      <c r="D84" s="43">
        <f t="shared" si="5"/>
        <v>1433443.4</v>
      </c>
      <c r="E84" s="19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38">
        <f>(B84-'FY2015'!B84)/'FY2015'!B84</f>
        <v>0.21169666982268817</v>
      </c>
      <c r="U84" s="38">
        <f>(C84-'FY2015'!C84)/'FY2015'!C84</f>
        <v>-0.11503727223270571</v>
      </c>
      <c r="V84" s="26"/>
    </row>
    <row r="85" spans="1:22" x14ac:dyDescent="0.2">
      <c r="A85" s="9">
        <v>42917</v>
      </c>
      <c r="B85" s="198">
        <f>795109.22+952574.38+5941.86+315.66+38.63+2269.38+82.42+5.23+359.35+6965.8+24.12+9.45+371.61+35.4-95603.09-135437.77-126959.07-225704.98+85953.94+47782.35+317.2+43.33+0.19+0.01+129+61.38+0.07-7454.95-10561.15-5921.53-10527.13</f>
        <v>1280220.31</v>
      </c>
      <c r="C85" s="200">
        <f>845389.58+1643.98-C68-37293.82</f>
        <v>69494.040000000095</v>
      </c>
      <c r="D85" s="43">
        <f t="shared" si="5"/>
        <v>1349714.35</v>
      </c>
      <c r="E85" s="1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38"/>
      <c r="U85" s="38"/>
      <c r="V85" s="26"/>
    </row>
    <row r="86" spans="1:22" x14ac:dyDescent="0.2">
      <c r="A86" s="9">
        <v>42948</v>
      </c>
      <c r="B86" s="43"/>
      <c r="C86" s="101"/>
      <c r="D86" s="43">
        <f t="shared" si="5"/>
        <v>0</v>
      </c>
      <c r="E86" s="19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38"/>
      <c r="U86" s="38"/>
      <c r="V86" s="26"/>
    </row>
    <row r="87" spans="1:22" x14ac:dyDescent="0.2">
      <c r="A87" s="9">
        <v>42979</v>
      </c>
      <c r="B87" s="43"/>
      <c r="C87" s="101"/>
      <c r="D87" s="43">
        <f t="shared" si="5"/>
        <v>0</v>
      </c>
      <c r="E87" s="19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38"/>
      <c r="U87" s="38"/>
      <c r="V87" s="26"/>
    </row>
    <row r="88" spans="1:22" x14ac:dyDescent="0.2">
      <c r="A88" s="108" t="s">
        <v>155</v>
      </c>
      <c r="B88" s="45">
        <f>SUM(B76:B87)</f>
        <v>12711766.59</v>
      </c>
      <c r="C88" s="45">
        <f>SUM(C76:C87)</f>
        <v>758047.12000000058</v>
      </c>
      <c r="D88" s="45">
        <f>SUM(D76:D87)</f>
        <v>13469813.709999999</v>
      </c>
      <c r="E88" s="1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39">
        <f>AVERAGE(T76:T87)</f>
        <v>0.29151849501575322</v>
      </c>
      <c r="U88" s="39">
        <f>AVERAGE(U76:U87)</f>
        <v>-0.1460848159366353</v>
      </c>
      <c r="V88" s="23"/>
    </row>
    <row r="89" spans="1:22" x14ac:dyDescent="0.2">
      <c r="A89" s="81"/>
      <c r="B89" s="21"/>
      <c r="C89" s="21"/>
      <c r="D89" s="21"/>
      <c r="E89" s="21"/>
    </row>
    <row r="90" spans="1:22" ht="15.75" customHeight="1" x14ac:dyDescent="0.2">
      <c r="A90" s="81"/>
      <c r="B90" s="21"/>
      <c r="C90" s="21"/>
      <c r="D90" s="21"/>
      <c r="E90" s="21"/>
    </row>
    <row r="91" spans="1:22" ht="15.75" customHeight="1" x14ac:dyDescent="0.2">
      <c r="A91" s="81"/>
      <c r="B91" s="21"/>
      <c r="C91" s="21"/>
      <c r="D91" s="21"/>
      <c r="E91" s="21"/>
    </row>
    <row r="92" spans="1:22" ht="15.75" customHeight="1" x14ac:dyDescent="0.2">
      <c r="A92" s="81"/>
      <c r="B92" s="21"/>
      <c r="C92" s="21"/>
      <c r="D92" s="21"/>
      <c r="E92" s="21"/>
    </row>
    <row r="93" spans="1:22" x14ac:dyDescent="0.2">
      <c r="A93" s="81"/>
      <c r="B93" s="21"/>
      <c r="C93" s="21"/>
      <c r="D93" s="21"/>
      <c r="E93" s="21"/>
    </row>
    <row r="94" spans="1:22" x14ac:dyDescent="0.2">
      <c r="A94" s="81"/>
      <c r="B94" s="21"/>
      <c r="C94" s="21"/>
      <c r="D94" s="21"/>
      <c r="E94" s="21"/>
    </row>
    <row r="95" spans="1:22" x14ac:dyDescent="0.2">
      <c r="A95" s="81"/>
      <c r="B95" s="21"/>
      <c r="C95" s="21"/>
      <c r="D95" s="21"/>
      <c r="E95" s="21"/>
    </row>
    <row r="96" spans="1:22" x14ac:dyDescent="0.2">
      <c r="A96" s="81"/>
      <c r="B96" s="21"/>
      <c r="C96" s="21"/>
      <c r="D96" s="21"/>
      <c r="E96" s="21"/>
    </row>
    <row r="97" spans="1:22" x14ac:dyDescent="0.2">
      <c r="A97" s="19"/>
      <c r="B97" s="19"/>
      <c r="C97" s="19"/>
      <c r="D97" s="19"/>
      <c r="E97" s="19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">
      <c r="A98" s="19"/>
      <c r="B98" s="208" t="s">
        <v>46</v>
      </c>
      <c r="C98" s="208"/>
      <c r="D98" s="210"/>
      <c r="E98" s="19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209" t="s">
        <v>47</v>
      </c>
      <c r="U98" s="209"/>
      <c r="V98" s="209"/>
    </row>
    <row r="99" spans="1:22" x14ac:dyDescent="0.2">
      <c r="A99" s="183" t="s">
        <v>1</v>
      </c>
      <c r="B99" s="183" t="s">
        <v>48</v>
      </c>
      <c r="C99" s="183" t="s">
        <v>42</v>
      </c>
      <c r="D99" s="183" t="s">
        <v>7</v>
      </c>
      <c r="E99" s="19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8" t="s">
        <v>70</v>
      </c>
      <c r="U99" s="8" t="s">
        <v>70</v>
      </c>
      <c r="V99" s="8" t="s">
        <v>71</v>
      </c>
    </row>
    <row r="100" spans="1:22" x14ac:dyDescent="0.2">
      <c r="A100" s="9">
        <v>42644</v>
      </c>
      <c r="B100" s="73">
        <v>2896654</v>
      </c>
      <c r="C100" s="193">
        <v>160030042.24000001</v>
      </c>
      <c r="D100" s="191">
        <v>798910.8699999972</v>
      </c>
      <c r="E100" s="19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102">
        <f>(B100-'FY2015'!B93)/'FY2015'!B93</f>
        <v>6.721415360582414E-2</v>
      </c>
      <c r="U100" s="102">
        <f>(C100-'FY2015'!C93)/'FY2015'!C93</f>
        <v>-4.0883740264504996E-2</v>
      </c>
      <c r="V100" s="102">
        <f>(D100-'FY2015'!D93)/'FY2015'!D93</f>
        <v>-2.8863984460093646E-2</v>
      </c>
    </row>
    <row r="101" spans="1:22" x14ac:dyDescent="0.2">
      <c r="A101" s="9">
        <v>42675</v>
      </c>
      <c r="B101" s="73">
        <v>2787317</v>
      </c>
      <c r="C101" s="193">
        <v>155626757.57000017</v>
      </c>
      <c r="D101" s="191">
        <v>771278.92999999807</v>
      </c>
      <c r="E101" s="1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102">
        <f>(B101-'FY2015'!B94)/'FY2015'!B94</f>
        <v>0.13513261459279763</v>
      </c>
      <c r="U101" s="102">
        <f>(C101-'FY2015'!C94)/'FY2015'!C94</f>
        <v>9.3486702803943934E-3</v>
      </c>
      <c r="V101" s="102">
        <f>(D101-'FY2015'!D94)/'FY2015'!D94</f>
        <v>3.305522810811827E-2</v>
      </c>
    </row>
    <row r="102" spans="1:22" x14ac:dyDescent="0.2">
      <c r="A102" s="9">
        <v>42705</v>
      </c>
      <c r="B102" s="73">
        <v>2871100</v>
      </c>
      <c r="C102" s="193">
        <v>163417804.1500001</v>
      </c>
      <c r="D102" s="191">
        <v>798286.48999999929</v>
      </c>
      <c r="E102" s="1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102">
        <f>(B102-'FY2015'!B95)/'FY2015'!B95</f>
        <v>6.2246356355515661E-2</v>
      </c>
      <c r="U102" s="102">
        <f>(C102-'FY2015'!C95)/'FY2015'!C95</f>
        <v>-5.754818790039664E-2</v>
      </c>
      <c r="V102" s="102">
        <f>(D102-'FY2015'!D95)/'FY2015'!D95</f>
        <v>-2.5261240940976881E-2</v>
      </c>
    </row>
    <row r="103" spans="1:22" x14ac:dyDescent="0.2">
      <c r="A103" s="9">
        <v>42736</v>
      </c>
      <c r="B103" s="73">
        <v>2716107</v>
      </c>
      <c r="C103" s="193">
        <v>155705630.55000013</v>
      </c>
      <c r="D103" s="191">
        <v>760518.78999999689</v>
      </c>
      <c r="E103" s="19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102">
        <f>(B103-'FY2015'!B96)/'FY2015'!B96</f>
        <v>2.3713332360919361E-2</v>
      </c>
      <c r="U103" s="102">
        <f>(C103-'FY2015'!C96)/'FY2015'!C96</f>
        <v>-7.302986686066798E-2</v>
      </c>
      <c r="V103" s="102">
        <f>(D103-'FY2015'!D96)/'FY2015'!D96</f>
        <v>-6.1402227957616795E-2</v>
      </c>
    </row>
    <row r="104" spans="1:22" x14ac:dyDescent="0.2">
      <c r="A104" s="9">
        <v>42767</v>
      </c>
      <c r="B104" s="73">
        <v>2739856</v>
      </c>
      <c r="C104" s="193">
        <v>158757137.00000045</v>
      </c>
      <c r="D104" s="191">
        <v>787516.98000000138</v>
      </c>
      <c r="E104" s="19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102">
        <f>(B104-'FY2015'!B97)/'FY2015'!B97</f>
        <v>7.194078819958083E-2</v>
      </c>
      <c r="U104" s="102">
        <f>(C104-'FY2015'!C97)/'FY2015'!C97</f>
        <v>-3.5942276285074813E-2</v>
      </c>
      <c r="V104" s="102">
        <f>(D104-'FY2015'!D97)/'FY2015'!D97</f>
        <v>-1.0726843828791027E-2</v>
      </c>
    </row>
    <row r="105" spans="1:22" x14ac:dyDescent="0.2">
      <c r="A105" s="9">
        <v>42795</v>
      </c>
      <c r="B105" s="73">
        <v>3271727</v>
      </c>
      <c r="C105" s="193">
        <v>188402361.45000011</v>
      </c>
      <c r="D105" s="191">
        <v>972860.17999999889</v>
      </c>
      <c r="E105" s="19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102">
        <f>(B105-'FY2015'!B98)/'FY2015'!B98</f>
        <v>0.12962803755290825</v>
      </c>
      <c r="U105" s="102">
        <f>(C105-'FY2015'!C98)/'FY2015'!C98</f>
        <v>4.2758031791594465E-2</v>
      </c>
      <c r="V105" s="102">
        <f>(D105-'FY2015'!D98)/'FY2015'!D98</f>
        <v>8.539121883121048E-2</v>
      </c>
    </row>
    <row r="106" spans="1:22" x14ac:dyDescent="0.2">
      <c r="A106" s="9">
        <v>42826</v>
      </c>
      <c r="B106" s="73">
        <v>2998113</v>
      </c>
      <c r="C106" s="198">
        <v>170294707.08999991</v>
      </c>
      <c r="D106" s="191">
        <v>876821.39999999793</v>
      </c>
      <c r="E106" s="1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102">
        <f>(B106-'FY2015'!B99)/'FY2015'!B99</f>
        <v>5.2020782768001671E-2</v>
      </c>
      <c r="U106" s="102">
        <f>(C106-'FY2015'!C99)/'FY2015'!C99</f>
        <v>2.2068784768836024E-2</v>
      </c>
      <c r="V106" s="102">
        <f>(D106-'FY2015'!D99)/'FY2015'!D99</f>
        <v>5.0972895114060147E-2</v>
      </c>
    </row>
    <row r="107" spans="1:22" x14ac:dyDescent="0.2">
      <c r="A107" s="9">
        <v>42856</v>
      </c>
      <c r="B107" s="73">
        <v>3002104</v>
      </c>
      <c r="C107" s="198">
        <v>169981910.36999953</v>
      </c>
      <c r="D107" s="191">
        <v>880234.60999999905</v>
      </c>
      <c r="E107" s="19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102">
        <f>(B107-'FY2015'!B100)/'FY2015'!B100</f>
        <v>5.0719063135458264E-2</v>
      </c>
      <c r="U107" s="102">
        <f>(C107-'FY2015'!C100)/'FY2015'!C100</f>
        <v>1.0076148096868388E-2</v>
      </c>
      <c r="V107" s="102">
        <f>(D107-'FY2015'!D100)/'FY2015'!D100</f>
        <v>9.3292650005012398E-2</v>
      </c>
    </row>
    <row r="108" spans="1:22" x14ac:dyDescent="0.2">
      <c r="A108" s="9">
        <v>42887</v>
      </c>
      <c r="B108" s="73">
        <f>2977897+85542</f>
        <v>3063439</v>
      </c>
      <c r="C108" s="198">
        <f>171881411+2753862</f>
        <v>174635273</v>
      </c>
      <c r="D108" s="191">
        <f>880376+24571</f>
        <v>904947</v>
      </c>
      <c r="E108" s="19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102">
        <f>(B108-'FY2015'!B101)/'FY2015'!B101</f>
        <v>8.136999086456255E-2</v>
      </c>
      <c r="U108" s="102">
        <f>(C108-'FY2015'!C101)/'FY2015'!C101</f>
        <v>6.9180882545385611E-2</v>
      </c>
      <c r="V108" s="102">
        <f>(D108-'FY2015'!D101)/'FY2015'!D101</f>
        <v>0.13423963259613592</v>
      </c>
    </row>
    <row r="109" spans="1:22" x14ac:dyDescent="0.2">
      <c r="A109" s="9">
        <v>42917</v>
      </c>
      <c r="B109" s="201">
        <v>2950832</v>
      </c>
      <c r="C109" s="198">
        <v>169639802.08999979</v>
      </c>
      <c r="D109" s="198">
        <v>870378.34999999928</v>
      </c>
      <c r="E109" s="1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102"/>
      <c r="U109" s="102"/>
      <c r="V109" s="102"/>
    </row>
    <row r="110" spans="1:22" x14ac:dyDescent="0.2">
      <c r="A110" s="9">
        <v>42948</v>
      </c>
      <c r="B110" s="73"/>
      <c r="C110" s="43"/>
      <c r="D110" s="43"/>
      <c r="E110" s="1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102"/>
      <c r="U110" s="102"/>
      <c r="V110" s="102"/>
    </row>
    <row r="111" spans="1:22" x14ac:dyDescent="0.2">
      <c r="A111" s="9">
        <v>42979</v>
      </c>
      <c r="B111" s="73"/>
      <c r="C111" s="43"/>
      <c r="D111" s="43"/>
      <c r="E111" s="19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102"/>
      <c r="U111" s="102"/>
      <c r="V111" s="102"/>
    </row>
    <row r="112" spans="1:22" x14ac:dyDescent="0.2">
      <c r="A112" s="108" t="s">
        <v>155</v>
      </c>
      <c r="B112" s="74">
        <f>SUM(B100:B111)</f>
        <v>29297249</v>
      </c>
      <c r="C112" s="45">
        <f>SUM(C100:C111)</f>
        <v>1666491425.5100002</v>
      </c>
      <c r="D112" s="45">
        <f>SUM(D100:D111)</f>
        <v>8421753.5999999885</v>
      </c>
      <c r="E112" s="19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103">
        <f>AVERAGE(T100:T111)</f>
        <v>7.4887235492840931E-2</v>
      </c>
      <c r="U112" s="103">
        <f>AVERAGE(U100:U111)</f>
        <v>-5.9968393141739511E-3</v>
      </c>
      <c r="V112" s="103">
        <f>AVERAGE(V100:V111)</f>
        <v>3.0077480829673209E-2</v>
      </c>
    </row>
    <row r="113" spans="1:22" x14ac:dyDescent="0.2">
      <c r="B113" s="21"/>
      <c r="C113" s="21"/>
      <c r="D113" s="21"/>
      <c r="E113" s="21"/>
    </row>
    <row r="114" spans="1:22" x14ac:dyDescent="0.2">
      <c r="A114" s="59"/>
      <c r="B114" s="21"/>
      <c r="C114" s="21"/>
      <c r="D114" s="21"/>
      <c r="E114" s="21"/>
    </row>
    <row r="115" spans="1:22" x14ac:dyDescent="0.2">
      <c r="A115" s="59"/>
      <c r="B115" s="21"/>
      <c r="C115" s="21"/>
      <c r="D115" s="21"/>
      <c r="E115" s="21"/>
    </row>
    <row r="116" spans="1:22" x14ac:dyDescent="0.2">
      <c r="A116" s="19"/>
      <c r="B116" s="208" t="s">
        <v>114</v>
      </c>
      <c r="C116" s="208"/>
      <c r="D116" s="210"/>
      <c r="E116" s="1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209" t="s">
        <v>57</v>
      </c>
      <c r="U116" s="209"/>
      <c r="V116" s="209"/>
    </row>
    <row r="117" spans="1:22" ht="24" x14ac:dyDescent="0.2">
      <c r="A117" s="183" t="s">
        <v>1</v>
      </c>
      <c r="B117" s="183" t="s">
        <v>2</v>
      </c>
      <c r="C117" s="183" t="s">
        <v>3</v>
      </c>
      <c r="D117" s="94"/>
      <c r="E117" s="19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8" t="s">
        <v>9</v>
      </c>
      <c r="U117" s="8" t="s">
        <v>10</v>
      </c>
      <c r="V117" s="54"/>
    </row>
    <row r="118" spans="1:22" x14ac:dyDescent="0.2">
      <c r="A118" s="9">
        <v>42644</v>
      </c>
      <c r="B118" s="191">
        <f t="shared" ref="B118:C129" si="6">B59/B25</f>
        <v>1.7549429171734818</v>
      </c>
      <c r="C118" s="191">
        <f t="shared" si="6"/>
        <v>0.25350086392383336</v>
      </c>
      <c r="D118" s="92"/>
      <c r="E118" s="19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38">
        <f>(B118-'FY2015'!B111)/'FY2015'!B111</f>
        <v>7.0912564331189953E-3</v>
      </c>
      <c r="U118" s="38">
        <f>(C118-'FY2015'!C111)/'FY2015'!C111</f>
        <v>-3.3896100083776255E-2</v>
      </c>
      <c r="V118" s="26"/>
    </row>
    <row r="119" spans="1:22" x14ac:dyDescent="0.2">
      <c r="A119" s="9">
        <v>42675</v>
      </c>
      <c r="B119" s="191">
        <f t="shared" si="6"/>
        <v>1.8923918916888429</v>
      </c>
      <c r="C119" s="191">
        <f t="shared" si="6"/>
        <v>0.2555042655217114</v>
      </c>
      <c r="D119" s="92"/>
      <c r="E119" s="19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38">
        <f>(B119-'FY2015'!B112)/'FY2015'!B112</f>
        <v>0.11499268066504406</v>
      </c>
      <c r="U119" s="38">
        <f>(C119-'FY2015'!C112)/'FY2015'!C112</f>
        <v>6.9638358243841872E-5</v>
      </c>
      <c r="V119" s="26"/>
    </row>
    <row r="120" spans="1:22" x14ac:dyDescent="0.2">
      <c r="A120" s="9">
        <v>42705</v>
      </c>
      <c r="B120" s="191">
        <f t="shared" si="6"/>
        <v>1.9297984141960949</v>
      </c>
      <c r="C120" s="191">
        <f t="shared" si="6"/>
        <v>0.26483754322849562</v>
      </c>
      <c r="D120" s="92"/>
      <c r="E120" s="19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38">
        <f>(B120-'FY2015'!B113)/'FY2015'!B113</f>
        <v>0.11032372689361865</v>
      </c>
      <c r="U120" s="38">
        <f>(C120-'FY2015'!C113)/'FY2015'!C113</f>
        <v>-1.2373894546968424E-2</v>
      </c>
      <c r="V120" s="26"/>
    </row>
    <row r="121" spans="1:22" x14ac:dyDescent="0.2">
      <c r="A121" s="9">
        <v>42736</v>
      </c>
      <c r="B121" s="191">
        <f t="shared" si="6"/>
        <v>1.7272094746555133</v>
      </c>
      <c r="C121" s="191">
        <f t="shared" si="6"/>
        <v>0.25674135373213186</v>
      </c>
      <c r="D121" s="92"/>
      <c r="E121" s="19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38">
        <f>(B121-'FY2015'!B114)/'FY2015'!B114</f>
        <v>5.8572386921039547E-2</v>
      </c>
      <c r="U121" s="38">
        <f>(C121-'FY2015'!C114)/'FY2015'!C114</f>
        <v>-2.2392892119132004E-2</v>
      </c>
      <c r="V121" s="26"/>
    </row>
    <row r="122" spans="1:22" x14ac:dyDescent="0.2">
      <c r="A122" s="9">
        <v>42767</v>
      </c>
      <c r="B122" s="191">
        <f t="shared" si="6"/>
        <v>1.6936386011670137</v>
      </c>
      <c r="C122" s="191">
        <f t="shared" si="6"/>
        <v>0.25972892055372876</v>
      </c>
      <c r="D122" s="92"/>
      <c r="E122" s="19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38">
        <f>(B122-'FY2015'!B115)/'FY2015'!B115</f>
        <v>7.0034676989952901E-2</v>
      </c>
      <c r="U122" s="38">
        <f>(C122-'FY2015'!C115)/'FY2015'!C115</f>
        <v>1.4356644568985394E-2</v>
      </c>
      <c r="V122" s="26"/>
    </row>
    <row r="123" spans="1:22" x14ac:dyDescent="0.2">
      <c r="A123" s="9">
        <v>42795</v>
      </c>
      <c r="B123" s="191">
        <f t="shared" si="6"/>
        <v>1.7154096422431275</v>
      </c>
      <c r="C123" s="191">
        <f t="shared" si="6"/>
        <v>0.26009262080426476</v>
      </c>
      <c r="D123" s="92"/>
      <c r="E123" s="19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38">
        <f>(B123-'FY2015'!B116)/'FY2015'!B116</f>
        <v>8.9359043231982418E-2</v>
      </c>
      <c r="U123" s="38">
        <f>(C123-'FY2015'!C116)/'FY2015'!C116</f>
        <v>-2.5586077103297477E-2</v>
      </c>
      <c r="V123" s="26"/>
    </row>
    <row r="124" spans="1:22" x14ac:dyDescent="0.2">
      <c r="A124" s="9">
        <v>42826</v>
      </c>
      <c r="B124" s="191">
        <f t="shared" si="6"/>
        <v>1.7094203993161949</v>
      </c>
      <c r="C124" s="191">
        <f t="shared" si="6"/>
        <v>0.26048314134008238</v>
      </c>
      <c r="D124" s="92"/>
      <c r="E124" s="19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38">
        <f>(B124-'FY2015'!B117)/'FY2015'!B117</f>
        <v>3.1681246011002646E-2</v>
      </c>
      <c r="U124" s="38">
        <f>(C124-'FY2015'!C117)/'FY2015'!C117</f>
        <v>-8.1530404366391262E-3</v>
      </c>
      <c r="V124" s="26"/>
    </row>
    <row r="125" spans="1:22" x14ac:dyDescent="0.2">
      <c r="A125" s="9">
        <v>42856</v>
      </c>
      <c r="B125" s="191">
        <f t="shared" si="6"/>
        <v>1.6891063333525593</v>
      </c>
      <c r="C125" s="191">
        <f t="shared" si="6"/>
        <v>0.25896861645020269</v>
      </c>
      <c r="D125" s="92"/>
      <c r="E125" s="19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38">
        <f>(B125-'FY2015'!B118)/'FY2015'!B118</f>
        <v>4.7041610289405211E-3</v>
      </c>
      <c r="U125" s="38">
        <f>(C125-'FY2015'!C118)/'FY2015'!C118</f>
        <v>-1.4892250125315039E-2</v>
      </c>
      <c r="V125" s="26"/>
    </row>
    <row r="126" spans="1:22" x14ac:dyDescent="0.2">
      <c r="A126" s="9">
        <v>42887</v>
      </c>
      <c r="B126" s="191">
        <f t="shared" si="6"/>
        <v>1.6813332494401332</v>
      </c>
      <c r="C126" s="31">
        <f t="shared" si="6"/>
        <v>0.25970665886888461</v>
      </c>
      <c r="D126" s="92"/>
      <c r="E126" s="19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38">
        <f>(B126-'FY2015'!B119)/'FY2015'!B119</f>
        <v>1.6435387163125859E-2</v>
      </c>
      <c r="U126" s="38">
        <f>(C126-'FY2015'!C119)/'FY2015'!C119</f>
        <v>-2.8331632759933372E-3</v>
      </c>
      <c r="V126" s="26"/>
    </row>
    <row r="127" spans="1:22" x14ac:dyDescent="0.2">
      <c r="A127" s="9">
        <v>42917</v>
      </c>
      <c r="B127" s="31">
        <f t="shared" si="6"/>
        <v>1.6267227808070459</v>
      </c>
      <c r="C127" s="31">
        <f t="shared" si="6"/>
        <v>0.25422533373171641</v>
      </c>
      <c r="D127" s="92"/>
      <c r="E127" s="19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38"/>
      <c r="U127" s="38"/>
      <c r="V127" s="26"/>
    </row>
    <row r="128" spans="1:22" x14ac:dyDescent="0.2">
      <c r="A128" s="9">
        <v>42948</v>
      </c>
      <c r="B128" s="31" t="e">
        <f t="shared" si="6"/>
        <v>#DIV/0!</v>
      </c>
      <c r="C128" s="31" t="e">
        <f t="shared" si="6"/>
        <v>#DIV/0!</v>
      </c>
      <c r="D128" s="92"/>
      <c r="E128" s="19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38"/>
      <c r="U128" s="38"/>
      <c r="V128" s="26"/>
    </row>
    <row r="129" spans="1:22" x14ac:dyDescent="0.2">
      <c r="A129" s="9">
        <v>42979</v>
      </c>
      <c r="B129" s="31" t="e">
        <f t="shared" si="6"/>
        <v>#DIV/0!</v>
      </c>
      <c r="C129" s="31" t="e">
        <f t="shared" si="6"/>
        <v>#DIV/0!</v>
      </c>
      <c r="D129" s="92"/>
      <c r="E129" s="19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38"/>
      <c r="U129" s="38"/>
      <c r="V129" s="26"/>
    </row>
    <row r="130" spans="1:22" x14ac:dyDescent="0.2">
      <c r="A130" s="108" t="s">
        <v>155</v>
      </c>
      <c r="B130" s="32" t="e">
        <f>AVERAGE(B118:B129)</f>
        <v>#DIV/0!</v>
      </c>
      <c r="C130" s="32" t="e">
        <f>AVERAGE(C118:C129)</f>
        <v>#DIV/0!</v>
      </c>
      <c r="D130" s="93"/>
      <c r="E130" s="19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39">
        <f>AVERAGE(T118:T129)</f>
        <v>5.59105072597584E-2</v>
      </c>
      <c r="U130" s="39">
        <f>AVERAGE(U118:U129)</f>
        <v>-1.1744570529321381E-2</v>
      </c>
      <c r="V130" s="23"/>
    </row>
    <row r="131" spans="1:22" x14ac:dyDescent="0.2">
      <c r="A131" s="176" t="s">
        <v>35</v>
      </c>
      <c r="B131" s="88"/>
      <c r="C131" s="88"/>
      <c r="D131" s="88"/>
      <c r="E131" s="19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1"/>
      <c r="U131" s="51"/>
      <c r="V131" s="18"/>
    </row>
    <row r="132" spans="1:22" x14ac:dyDescent="0.2">
      <c r="B132" s="21"/>
      <c r="C132" s="21"/>
      <c r="D132" s="21"/>
      <c r="E132" s="21"/>
    </row>
    <row r="133" spans="1:22" x14ac:dyDescent="0.2">
      <c r="A133" s="19"/>
      <c r="B133" s="208" t="s">
        <v>53</v>
      </c>
      <c r="C133" s="208"/>
      <c r="D133" s="210"/>
      <c r="E133" s="19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209" t="s">
        <v>31</v>
      </c>
      <c r="U133" s="209"/>
      <c r="V133" s="209"/>
    </row>
    <row r="134" spans="1:22" ht="24" x14ac:dyDescent="0.2">
      <c r="A134" s="183" t="s">
        <v>1</v>
      </c>
      <c r="B134" s="183" t="s">
        <v>56</v>
      </c>
      <c r="C134" s="183" t="s">
        <v>3</v>
      </c>
      <c r="D134" s="94"/>
      <c r="E134" s="19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8" t="s">
        <v>9</v>
      </c>
      <c r="U134" s="8" t="s">
        <v>10</v>
      </c>
      <c r="V134" s="54"/>
    </row>
    <row r="135" spans="1:22" x14ac:dyDescent="0.2">
      <c r="A135" s="9">
        <v>42644</v>
      </c>
      <c r="B135" s="191">
        <f t="shared" ref="B135:C146" si="7">B76/B25</f>
        <v>0.14952675667880191</v>
      </c>
      <c r="C135" s="191">
        <f t="shared" si="7"/>
        <v>2.434204187215264E-2</v>
      </c>
      <c r="D135" s="92"/>
      <c r="E135" s="19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38">
        <f>(B135-'FY2015'!B128)/'FY2015'!B128</f>
        <v>0.14268744087493218</v>
      </c>
      <c r="U135" s="38">
        <f>(C135-'FY2015'!C128)/'FY2015'!C128</f>
        <v>-0.2066811184683279</v>
      </c>
      <c r="V135" s="26"/>
    </row>
    <row r="136" spans="1:22" x14ac:dyDescent="0.2">
      <c r="A136" s="9">
        <v>42675</v>
      </c>
      <c r="B136" s="191">
        <f t="shared" si="7"/>
        <v>0.22935021915067894</v>
      </c>
      <c r="C136" s="191">
        <f t="shared" si="7"/>
        <v>3.3065515060101178E-2</v>
      </c>
      <c r="D136" s="92"/>
      <c r="E136" s="19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38">
        <f>(B136-'FY2015'!B129)/'FY2015'!B129</f>
        <v>0.76237025542326986</v>
      </c>
      <c r="U136" s="38">
        <f>(C136-'FY2015'!C129)/'FY2015'!C129</f>
        <v>0.11541575743146762</v>
      </c>
      <c r="V136" s="26"/>
    </row>
    <row r="137" spans="1:22" x14ac:dyDescent="0.2">
      <c r="A137" s="9">
        <v>42705</v>
      </c>
      <c r="B137" s="191">
        <f t="shared" si="7"/>
        <v>0.1605272963897473</v>
      </c>
      <c r="C137" s="191">
        <f t="shared" si="7"/>
        <v>2.6093858406084001E-2</v>
      </c>
      <c r="D137" s="92"/>
      <c r="E137" s="19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38">
        <f>(B137-'FY2015'!B130)/'FY2015'!B130</f>
        <v>0.19445334551797702</v>
      </c>
      <c r="U137" s="38">
        <f>(C137-'FY2015'!C130)/'FY2015'!C130</f>
        <v>-0.12619241419001903</v>
      </c>
      <c r="V137" s="26"/>
    </row>
    <row r="138" spans="1:22" x14ac:dyDescent="0.2">
      <c r="A138" s="9">
        <v>42736</v>
      </c>
      <c r="B138" s="191">
        <f t="shared" si="7"/>
        <v>0.15075015227144029</v>
      </c>
      <c r="C138" s="191">
        <f t="shared" si="7"/>
        <v>2.3576429890931928E-2</v>
      </c>
      <c r="D138" s="92"/>
      <c r="E138" s="19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38">
        <f>(B138-'FY2015'!B131)/'FY2015'!B131</f>
        <v>0.1099227948266671</v>
      </c>
      <c r="U138" s="38">
        <f>(C138-'FY2015'!C131)/'FY2015'!C131</f>
        <v>-0.20780472515354154</v>
      </c>
      <c r="V138" s="26"/>
    </row>
    <row r="139" spans="1:22" x14ac:dyDescent="0.2">
      <c r="A139" s="9">
        <v>42767</v>
      </c>
      <c r="B139" s="191">
        <f t="shared" si="7"/>
        <v>0.14463137076248642</v>
      </c>
      <c r="C139" s="191">
        <f t="shared" si="7"/>
        <v>2.3633253401310512E-2</v>
      </c>
      <c r="D139" s="92"/>
      <c r="E139" s="19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38">
        <f>(B139-'FY2015'!B132)/'FY2015'!B132</f>
        <v>3.0576257635673308E-2</v>
      </c>
      <c r="U139" s="38">
        <f>(C139-'FY2015'!C132)/'FY2015'!C132</f>
        <v>-8.475284016995209E-2</v>
      </c>
      <c r="V139" s="26"/>
    </row>
    <row r="140" spans="1:22" x14ac:dyDescent="0.2">
      <c r="A140" s="9">
        <v>42795</v>
      </c>
      <c r="B140" s="191">
        <f t="shared" si="7"/>
        <v>0.14864792460855661</v>
      </c>
      <c r="C140" s="191">
        <f t="shared" si="7"/>
        <v>2.5463359231126421E-2</v>
      </c>
      <c r="D140" s="92"/>
      <c r="E140" s="19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38">
        <f>(B140-'FY2015'!B133)/'FY2015'!B133</f>
        <v>0.10325108617286309</v>
      </c>
      <c r="U140" s="38">
        <f>(C140-'FY2015'!C133)/'FY2015'!C133</f>
        <v>-0.11236871585798744</v>
      </c>
      <c r="V140" s="26"/>
    </row>
    <row r="141" spans="1:22" x14ac:dyDescent="0.2">
      <c r="A141" s="9">
        <v>42826</v>
      </c>
      <c r="B141" s="191">
        <f t="shared" si="7"/>
        <v>0.15354763388787354</v>
      </c>
      <c r="C141" s="191">
        <f t="shared" si="7"/>
        <v>2.4894314564525462E-2</v>
      </c>
      <c r="D141" s="92"/>
      <c r="E141" s="19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38">
        <f>(B141-'FY2015'!B134)/'FY2015'!B134</f>
        <v>0.12277560952451572</v>
      </c>
      <c r="U141" s="38">
        <f>(C141-'FY2015'!C134)/'FY2015'!C134</f>
        <v>-0.1037574860933406</v>
      </c>
      <c r="V141" s="26"/>
    </row>
    <row r="142" spans="1:22" x14ac:dyDescent="0.2">
      <c r="A142" s="9">
        <v>42856</v>
      </c>
      <c r="B142" s="191">
        <f t="shared" si="7"/>
        <v>0.15305718547606262</v>
      </c>
      <c r="C142" s="191">
        <f t="shared" si="7"/>
        <v>2.4279079279750499E-2</v>
      </c>
      <c r="D142" s="92"/>
      <c r="E142" s="19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38">
        <f>(B142-'FY2015'!B135)/'FY2015'!B135</f>
        <v>0.10050528400407388</v>
      </c>
      <c r="U142" s="38">
        <f>(C142-'FY2015'!C135)/'FY2015'!C135</f>
        <v>-0.11066700787484113</v>
      </c>
      <c r="V142" s="26"/>
    </row>
    <row r="143" spans="1:22" x14ac:dyDescent="0.2">
      <c r="A143" s="9">
        <v>42887</v>
      </c>
      <c r="B143" s="191">
        <f t="shared" si="7"/>
        <v>0.15350325549695465</v>
      </c>
      <c r="C143" s="191">
        <f t="shared" si="7"/>
        <v>2.5467734156133851E-2</v>
      </c>
      <c r="D143" s="92"/>
      <c r="E143" s="19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38">
        <f>(B143-'FY2015'!B136)/'FY2015'!B136</f>
        <v>9.6611379646878742E-2</v>
      </c>
      <c r="U143" s="38">
        <f>(C143-'FY2015'!C136)/'FY2015'!C136</f>
        <v>-9.6335654513711247E-2</v>
      </c>
      <c r="V143" s="26"/>
    </row>
    <row r="144" spans="1:22" x14ac:dyDescent="0.2">
      <c r="A144" s="9">
        <v>42917</v>
      </c>
      <c r="B144" s="90">
        <f t="shared" si="7"/>
        <v>0.14546615812268232</v>
      </c>
      <c r="C144" s="90">
        <f t="shared" si="7"/>
        <v>2.386659660618802E-2</v>
      </c>
      <c r="D144" s="92"/>
      <c r="E144" s="19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38"/>
      <c r="U144" s="38"/>
      <c r="V144" s="26"/>
    </row>
    <row r="145" spans="1:22" x14ac:dyDescent="0.2">
      <c r="A145" s="9">
        <v>42948</v>
      </c>
      <c r="B145" s="90" t="e">
        <f t="shared" si="7"/>
        <v>#DIV/0!</v>
      </c>
      <c r="C145" s="90" t="e">
        <f t="shared" si="7"/>
        <v>#DIV/0!</v>
      </c>
      <c r="D145" s="92"/>
      <c r="E145" s="19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38"/>
      <c r="U145" s="38"/>
      <c r="V145" s="26"/>
    </row>
    <row r="146" spans="1:22" x14ac:dyDescent="0.2">
      <c r="A146" s="9">
        <v>42979</v>
      </c>
      <c r="B146" s="90" t="e">
        <f t="shared" si="7"/>
        <v>#DIV/0!</v>
      </c>
      <c r="C146" s="90" t="e">
        <f t="shared" si="7"/>
        <v>#DIV/0!</v>
      </c>
      <c r="D146" s="92"/>
      <c r="E146" s="19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38"/>
      <c r="U146" s="38"/>
      <c r="V146" s="26"/>
    </row>
    <row r="147" spans="1:22" x14ac:dyDescent="0.2">
      <c r="A147" s="108" t="s">
        <v>155</v>
      </c>
      <c r="B147" s="91" t="e">
        <f>AVERAGE(B135:B146)</f>
        <v>#DIV/0!</v>
      </c>
      <c r="C147" s="104" t="e">
        <f>AVERAGE(C135:C146)</f>
        <v>#DIV/0!</v>
      </c>
      <c r="D147" s="93"/>
      <c r="E147" s="19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39">
        <f>AVERAGE(T135:T146)</f>
        <v>0.18479482818076123</v>
      </c>
      <c r="U147" s="39">
        <f>AVERAGE(U135:U146)</f>
        <v>-0.10368268943225038</v>
      </c>
      <c r="V147" s="23"/>
    </row>
    <row r="148" spans="1:22" x14ac:dyDescent="0.2">
      <c r="A148" s="59" t="s">
        <v>115</v>
      </c>
      <c r="B148" s="21"/>
      <c r="C148" s="21"/>
      <c r="D148" s="21"/>
      <c r="E148" s="21"/>
    </row>
    <row r="149" spans="1:22" x14ac:dyDescent="0.2">
      <c r="A149" s="59"/>
      <c r="B149" s="21"/>
      <c r="C149" s="21"/>
      <c r="D149" s="21"/>
      <c r="E149" s="21"/>
    </row>
    <row r="150" spans="1:22" x14ac:dyDescent="0.2">
      <c r="A150" s="19"/>
      <c r="B150" s="208" t="s">
        <v>152</v>
      </c>
      <c r="C150" s="208"/>
      <c r="D150" s="210"/>
      <c r="E150" s="21"/>
    </row>
    <row r="151" spans="1:22" x14ac:dyDescent="0.2">
      <c r="A151" s="183" t="s">
        <v>1</v>
      </c>
      <c r="B151" s="183" t="s">
        <v>56</v>
      </c>
      <c r="C151" s="183" t="s">
        <v>3</v>
      </c>
      <c r="D151" s="94"/>
      <c r="E151" s="21"/>
    </row>
    <row r="152" spans="1:22" x14ac:dyDescent="0.2">
      <c r="A152" s="9">
        <v>42644</v>
      </c>
      <c r="B152" s="191">
        <f>B118+B135+0.005</f>
        <v>1.9094696738522836</v>
      </c>
      <c r="C152" s="191">
        <f t="shared" ref="C152:C163" si="8">C118+C135+0.005</f>
        <v>0.28284290579598603</v>
      </c>
      <c r="D152" s="92"/>
      <c r="E152" s="21"/>
    </row>
    <row r="153" spans="1:22" x14ac:dyDescent="0.2">
      <c r="A153" s="9">
        <v>42675</v>
      </c>
      <c r="B153" s="191">
        <f t="shared" ref="B153:B163" si="9">B119+B136+0.005</f>
        <v>2.1267421108395217</v>
      </c>
      <c r="C153" s="191">
        <f t="shared" si="8"/>
        <v>0.2935697805818126</v>
      </c>
      <c r="D153" s="92"/>
      <c r="E153" s="21"/>
    </row>
    <row r="154" spans="1:22" x14ac:dyDescent="0.2">
      <c r="A154" s="9">
        <v>42705</v>
      </c>
      <c r="B154" s="191">
        <f t="shared" si="9"/>
        <v>2.095325710585842</v>
      </c>
      <c r="C154" s="191">
        <f t="shared" si="8"/>
        <v>0.29593140163457965</v>
      </c>
      <c r="D154" s="92"/>
      <c r="E154" s="21"/>
    </row>
    <row r="155" spans="1:22" x14ac:dyDescent="0.2">
      <c r="A155" s="9">
        <v>42736</v>
      </c>
      <c r="B155" s="191">
        <f t="shared" si="9"/>
        <v>1.8829596269269535</v>
      </c>
      <c r="C155" s="191">
        <f t="shared" si="8"/>
        <v>0.28531778362306381</v>
      </c>
      <c r="D155" s="92"/>
      <c r="E155" s="21"/>
    </row>
    <row r="156" spans="1:22" x14ac:dyDescent="0.2">
      <c r="A156" s="9">
        <v>42767</v>
      </c>
      <c r="B156" s="191">
        <f>B122+B139+0.005</f>
        <v>1.8432699719295</v>
      </c>
      <c r="C156" s="191">
        <f t="shared" si="8"/>
        <v>0.28836217395503927</v>
      </c>
      <c r="D156" s="92"/>
      <c r="E156" s="21"/>
    </row>
    <row r="157" spans="1:22" x14ac:dyDescent="0.2">
      <c r="A157" s="9">
        <v>42795</v>
      </c>
      <c r="B157" s="191">
        <f t="shared" si="9"/>
        <v>1.869057566851684</v>
      </c>
      <c r="C157" s="191">
        <f t="shared" si="8"/>
        <v>0.29055598003539118</v>
      </c>
      <c r="D157" s="92"/>
      <c r="E157" s="21"/>
    </row>
    <row r="158" spans="1:22" x14ac:dyDescent="0.2">
      <c r="A158" s="9">
        <v>42826</v>
      </c>
      <c r="B158" s="191">
        <f t="shared" si="9"/>
        <v>1.8679680332040685</v>
      </c>
      <c r="C158" s="191">
        <f t="shared" si="8"/>
        <v>0.29037745590460784</v>
      </c>
      <c r="D158" s="92"/>
      <c r="E158" s="21"/>
    </row>
    <row r="159" spans="1:22" x14ac:dyDescent="0.2">
      <c r="A159" s="9">
        <v>42856</v>
      </c>
      <c r="B159" s="191">
        <f t="shared" si="9"/>
        <v>1.847163518828622</v>
      </c>
      <c r="C159" s="191">
        <f t="shared" si="8"/>
        <v>0.28824769572995318</v>
      </c>
      <c r="D159" s="92"/>
      <c r="E159" s="21"/>
    </row>
    <row r="160" spans="1:22" x14ac:dyDescent="0.2">
      <c r="A160" s="9">
        <v>42887</v>
      </c>
      <c r="B160" s="191">
        <f t="shared" si="9"/>
        <v>1.8398365049370877</v>
      </c>
      <c r="C160" s="191">
        <f t="shared" si="8"/>
        <v>0.29017439302501846</v>
      </c>
      <c r="D160" s="92"/>
      <c r="E160" s="21"/>
    </row>
    <row r="161" spans="1:22" x14ac:dyDescent="0.2">
      <c r="A161" s="9">
        <v>42917</v>
      </c>
      <c r="B161" s="198">
        <f t="shared" si="9"/>
        <v>1.7771889389297282</v>
      </c>
      <c r="C161" s="178">
        <f t="shared" si="8"/>
        <v>0.28309193033790442</v>
      </c>
      <c r="D161" s="92"/>
      <c r="E161" s="21"/>
    </row>
    <row r="162" spans="1:22" x14ac:dyDescent="0.2">
      <c r="A162" s="9">
        <v>42948</v>
      </c>
      <c r="B162" s="189" t="e">
        <f t="shared" si="9"/>
        <v>#DIV/0!</v>
      </c>
      <c r="C162" s="178" t="e">
        <f t="shared" si="8"/>
        <v>#DIV/0!</v>
      </c>
      <c r="D162" s="92"/>
      <c r="E162" s="21"/>
    </row>
    <row r="163" spans="1:22" x14ac:dyDescent="0.2">
      <c r="A163" s="9">
        <v>42979</v>
      </c>
      <c r="B163" s="189" t="e">
        <f t="shared" si="9"/>
        <v>#DIV/0!</v>
      </c>
      <c r="C163" s="178" t="e">
        <f t="shared" si="8"/>
        <v>#DIV/0!</v>
      </c>
      <c r="D163" s="92"/>
      <c r="E163" s="21"/>
    </row>
    <row r="164" spans="1:22" x14ac:dyDescent="0.2">
      <c r="A164" s="108" t="s">
        <v>155</v>
      </c>
      <c r="B164" s="91" t="e">
        <f>AVERAGE(B152:B163)</f>
        <v>#DIV/0!</v>
      </c>
      <c r="C164" s="91" t="e">
        <f>AVERAGE(C152:C163)</f>
        <v>#DIV/0!</v>
      </c>
      <c r="D164" s="93"/>
      <c r="E164" s="21"/>
    </row>
    <row r="165" spans="1:22" x14ac:dyDescent="0.2">
      <c r="A165" s="176" t="s">
        <v>154</v>
      </c>
      <c r="B165" s="21"/>
      <c r="C165" s="21"/>
      <c r="D165" s="21"/>
      <c r="E165" s="21"/>
    </row>
    <row r="166" spans="1:22" ht="15.75" x14ac:dyDescent="0.25">
      <c r="A166" s="207" t="s">
        <v>14</v>
      </c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</row>
    <row r="168" spans="1:22" x14ac:dyDescent="0.2">
      <c r="A168" s="5"/>
      <c r="B168" s="202" t="s">
        <v>16</v>
      </c>
      <c r="C168" s="202"/>
      <c r="D168" s="202"/>
      <c r="T168" s="203" t="s">
        <v>14</v>
      </c>
      <c r="U168" s="203"/>
      <c r="V168" s="203"/>
    </row>
    <row r="169" spans="1:22" ht="24" x14ac:dyDescent="0.2">
      <c r="A169" s="187" t="s">
        <v>1</v>
      </c>
      <c r="B169" s="37" t="s">
        <v>27</v>
      </c>
      <c r="C169" s="37" t="s">
        <v>26</v>
      </c>
      <c r="D169" s="37" t="s">
        <v>25</v>
      </c>
      <c r="T169" s="8" t="s">
        <v>18</v>
      </c>
      <c r="U169" s="8" t="s">
        <v>19</v>
      </c>
      <c r="V169" s="8" t="s">
        <v>11</v>
      </c>
    </row>
    <row r="170" spans="1:22" x14ac:dyDescent="0.2">
      <c r="A170" s="9">
        <v>42644</v>
      </c>
      <c r="B170" s="10">
        <v>7</v>
      </c>
      <c r="C170" s="10">
        <v>3</v>
      </c>
      <c r="D170" s="10">
        <v>10</v>
      </c>
      <c r="T170" s="38">
        <f>(B170-'FY2015'!B147)/'FY2015'!B147</f>
        <v>0.4</v>
      </c>
      <c r="U170" s="38">
        <f>(C170-'FY2015'!C147)/'FY2015'!C147</f>
        <v>-0.82352941176470584</v>
      </c>
      <c r="V170" s="38">
        <f>(D170-'FY2015'!D147)/'FY2015'!D147</f>
        <v>-0.56521739130434778</v>
      </c>
    </row>
    <row r="171" spans="1:22" x14ac:dyDescent="0.2">
      <c r="A171" s="9">
        <v>42675</v>
      </c>
      <c r="B171" s="10">
        <v>1</v>
      </c>
      <c r="C171" s="10">
        <v>0</v>
      </c>
      <c r="D171" s="10">
        <v>1</v>
      </c>
      <c r="T171" s="38">
        <f>(B171-'FY2015'!B148)/'FY2015'!B148</f>
        <v>-0.66666666666666663</v>
      </c>
      <c r="U171" s="38">
        <f>(C171-'FY2015'!C148)/'FY2015'!C148</f>
        <v>-1</v>
      </c>
      <c r="V171" s="38">
        <f>(D171-'FY2015'!D148)/'FY2015'!D148</f>
        <v>-0.98245614035087714</v>
      </c>
    </row>
    <row r="172" spans="1:22" x14ac:dyDescent="0.2">
      <c r="A172" s="9">
        <v>42705</v>
      </c>
      <c r="B172" s="10">
        <v>3</v>
      </c>
      <c r="C172" s="10">
        <v>0</v>
      </c>
      <c r="D172" s="10">
        <v>3</v>
      </c>
      <c r="T172" s="38">
        <f>(B172-'FY2015'!B149)/'FY2015'!B149</f>
        <v>2</v>
      </c>
      <c r="U172" s="38">
        <f>(C172-'FY2015'!C149)/'FY2015'!C149</f>
        <v>-1</v>
      </c>
      <c r="V172" s="38">
        <f>(D172-'FY2015'!D149)/'FY2015'!D149</f>
        <v>-0.625</v>
      </c>
    </row>
    <row r="173" spans="1:22" x14ac:dyDescent="0.2">
      <c r="A173" s="9">
        <v>42736</v>
      </c>
      <c r="B173" s="10">
        <v>4</v>
      </c>
      <c r="C173" s="10">
        <v>1</v>
      </c>
      <c r="D173" s="10">
        <v>5</v>
      </c>
      <c r="T173" s="38">
        <f>(B173-'FY2015'!B150)/'FY2015'!B150</f>
        <v>-0.33333333333333331</v>
      </c>
      <c r="U173" s="38">
        <f>(C173-'FY2015'!C150)/'FY2015'!C150</f>
        <v>-0.75</v>
      </c>
      <c r="V173" s="38">
        <f>(D173-'FY2015'!D150)/'FY2015'!D150</f>
        <v>-0.5</v>
      </c>
    </row>
    <row r="174" spans="1:22" x14ac:dyDescent="0.2">
      <c r="A174" s="9">
        <v>42767</v>
      </c>
      <c r="B174" s="10">
        <v>2</v>
      </c>
      <c r="C174" s="10">
        <v>10</v>
      </c>
      <c r="D174" s="10">
        <v>12</v>
      </c>
      <c r="T174" s="38">
        <f>(B174-'FY2015'!B151)/'FY2015'!B151</f>
        <v>0</v>
      </c>
      <c r="U174" s="38" t="e">
        <f>(C174-'FY2015'!C151)/'FY2015'!C151</f>
        <v>#DIV/0!</v>
      </c>
      <c r="V174" s="38">
        <f>(D174-'FY2015'!D151)/'FY2015'!D151</f>
        <v>5</v>
      </c>
    </row>
    <row r="175" spans="1:22" x14ac:dyDescent="0.2">
      <c r="A175" s="9">
        <v>42795</v>
      </c>
      <c r="B175" s="10">
        <v>1</v>
      </c>
      <c r="C175" s="10">
        <v>8</v>
      </c>
      <c r="D175" s="10">
        <v>9</v>
      </c>
      <c r="T175" s="38">
        <f>(B175-'FY2015'!B152)/'FY2015'!B152</f>
        <v>-0.5</v>
      </c>
      <c r="U175" s="38">
        <f>(C175-'FY2015'!C152)/'FY2015'!C152</f>
        <v>3</v>
      </c>
      <c r="V175" s="38">
        <f>(D175-'FY2015'!D152)/'FY2015'!D152</f>
        <v>1.25</v>
      </c>
    </row>
    <row r="176" spans="1:22" x14ac:dyDescent="0.2">
      <c r="A176" s="9">
        <v>42826</v>
      </c>
      <c r="B176" s="10">
        <v>0</v>
      </c>
      <c r="C176" s="10">
        <v>0</v>
      </c>
      <c r="D176" s="10">
        <v>0</v>
      </c>
      <c r="T176" s="38">
        <f>(B176-'FY2015'!B153)/'FY2015'!B153</f>
        <v>-1</v>
      </c>
      <c r="U176" s="38" t="e">
        <f>(C176-'FY2015'!C153)/'FY2015'!C153</f>
        <v>#DIV/0!</v>
      </c>
      <c r="V176" s="38">
        <f>(D176-'FY2015'!D153)/'FY2015'!D153</f>
        <v>-1</v>
      </c>
    </row>
    <row r="177" spans="1:22" x14ac:dyDescent="0.2">
      <c r="A177" s="9">
        <v>42856</v>
      </c>
      <c r="B177" s="10">
        <v>9</v>
      </c>
      <c r="C177" s="10">
        <v>0</v>
      </c>
      <c r="D177" s="10">
        <v>9</v>
      </c>
      <c r="T177" s="38">
        <f>(B177-'FY2015'!B154)/'FY2015'!B154</f>
        <v>-0.25</v>
      </c>
      <c r="U177" s="38" t="e">
        <f>(C177-'FY2015'!C154)/'FY2015'!C154</f>
        <v>#DIV/0!</v>
      </c>
      <c r="V177" s="38">
        <f>(D177-'FY2015'!D154)/'FY2015'!D154</f>
        <v>-0.25</v>
      </c>
    </row>
    <row r="178" spans="1:22" x14ac:dyDescent="0.2">
      <c r="A178" s="9">
        <v>42887</v>
      </c>
      <c r="B178" s="10">
        <v>12</v>
      </c>
      <c r="C178" s="10">
        <v>3</v>
      </c>
      <c r="D178" s="10">
        <v>15</v>
      </c>
      <c r="T178" s="38">
        <f>(B178-'FY2015'!B155)/'FY2015'!B155</f>
        <v>-0.33333333333333331</v>
      </c>
      <c r="U178" s="38">
        <f>(C178-'FY2015'!C155)/'FY2015'!C155</f>
        <v>2</v>
      </c>
      <c r="V178" s="38">
        <f>(D178-'FY2015'!D155)/'FY2015'!D155</f>
        <v>-0.21052631578947367</v>
      </c>
    </row>
    <row r="179" spans="1:22" x14ac:dyDescent="0.2">
      <c r="A179" s="9">
        <v>42917</v>
      </c>
      <c r="B179" s="10">
        <f>2+6</f>
        <v>8</v>
      </c>
      <c r="C179" s="10">
        <f>21+1234</f>
        <v>1255</v>
      </c>
      <c r="D179" s="10">
        <v>1255</v>
      </c>
      <c r="T179" s="38"/>
      <c r="U179" s="38"/>
      <c r="V179" s="38"/>
    </row>
    <row r="180" spans="1:22" x14ac:dyDescent="0.2">
      <c r="A180" s="9">
        <v>42948</v>
      </c>
      <c r="B180" s="10"/>
      <c r="C180" s="10"/>
      <c r="D180" s="10"/>
      <c r="T180" s="38"/>
      <c r="U180" s="38"/>
      <c r="V180" s="38"/>
    </row>
    <row r="181" spans="1:22" x14ac:dyDescent="0.2">
      <c r="A181" s="9">
        <v>42979</v>
      </c>
      <c r="B181" s="10"/>
      <c r="C181" s="10"/>
      <c r="D181" s="10"/>
      <c r="T181" s="38"/>
      <c r="U181" s="38"/>
      <c r="V181" s="38"/>
    </row>
    <row r="182" spans="1:22" x14ac:dyDescent="0.2">
      <c r="A182" s="108" t="s">
        <v>155</v>
      </c>
      <c r="B182" s="11">
        <f>SUM(B170:B181)</f>
        <v>47</v>
      </c>
      <c r="C182" s="11">
        <f>SUM(C170:C181)</f>
        <v>1280</v>
      </c>
      <c r="D182" s="11">
        <f>SUM(D170:D181)</f>
        <v>1319</v>
      </c>
      <c r="T182" s="39">
        <f>AVERAGE(T170:T181)</f>
        <v>-7.5925925925925897E-2</v>
      </c>
      <c r="U182" s="39" t="e">
        <f>AVERAGE(U170:U181)</f>
        <v>#DIV/0!</v>
      </c>
      <c r="V182" s="39">
        <f>AVERAGE(V170:V181)</f>
        <v>0.23520001695058904</v>
      </c>
    </row>
    <row r="185" spans="1:22" x14ac:dyDescent="0.2">
      <c r="A185" s="5"/>
      <c r="B185" s="212" t="s">
        <v>39</v>
      </c>
      <c r="C185" s="213"/>
      <c r="D185" s="214"/>
      <c r="T185" s="215" t="s">
        <v>33</v>
      </c>
      <c r="U185" s="216"/>
      <c r="V185" s="217"/>
    </row>
    <row r="186" spans="1:22" ht="24" x14ac:dyDescent="0.2">
      <c r="A186" s="187" t="s">
        <v>1</v>
      </c>
      <c r="B186" s="37" t="s">
        <v>32</v>
      </c>
      <c r="C186" s="52"/>
      <c r="D186" s="52"/>
      <c r="T186" s="8" t="s">
        <v>18</v>
      </c>
      <c r="U186" s="54"/>
      <c r="V186" s="54"/>
    </row>
    <row r="187" spans="1:22" x14ac:dyDescent="0.2">
      <c r="A187" s="9">
        <v>42644</v>
      </c>
      <c r="B187" s="58">
        <v>10205</v>
      </c>
      <c r="C187" s="53"/>
      <c r="D187" s="53"/>
      <c r="T187" s="38">
        <f>(B187-'FY2015'!B164)/'FY2015'!B164</f>
        <v>2.7280048318904772E-2</v>
      </c>
      <c r="U187" s="55"/>
      <c r="V187" s="55"/>
    </row>
    <row r="188" spans="1:22" x14ac:dyDescent="0.2">
      <c r="A188" s="9">
        <v>42675</v>
      </c>
      <c r="B188" s="58">
        <v>10206</v>
      </c>
      <c r="C188" s="53"/>
      <c r="D188" s="53"/>
      <c r="T188" s="38">
        <f>(B188-'FY2015'!B165)/'FY2015'!B165</f>
        <v>6.6234851650647728E-2</v>
      </c>
      <c r="U188" s="55"/>
      <c r="V188" s="55"/>
    </row>
    <row r="189" spans="1:22" x14ac:dyDescent="0.2">
      <c r="A189" s="9">
        <v>42705</v>
      </c>
      <c r="B189" s="58">
        <v>10229</v>
      </c>
      <c r="C189" s="53"/>
      <c r="D189" s="53"/>
      <c r="T189" s="38">
        <f>(B189-'FY2015'!B166)/'FY2015'!B166</f>
        <v>6.7076987273106611E-2</v>
      </c>
      <c r="U189" s="55"/>
      <c r="V189" s="55"/>
    </row>
    <row r="190" spans="1:22" x14ac:dyDescent="0.2">
      <c r="A190" s="9">
        <v>42736</v>
      </c>
      <c r="B190" s="58">
        <v>10273</v>
      </c>
      <c r="C190" s="53"/>
      <c r="D190" s="53"/>
      <c r="T190" s="38">
        <f>(B190-'FY2015'!B167)/'FY2015'!B167</f>
        <v>7.8530183727034117E-2</v>
      </c>
      <c r="U190" s="55"/>
      <c r="V190" s="55"/>
    </row>
    <row r="191" spans="1:22" x14ac:dyDescent="0.2">
      <c r="A191" s="9">
        <v>42767</v>
      </c>
      <c r="B191" s="58">
        <v>10387</v>
      </c>
      <c r="C191" s="53"/>
      <c r="D191" s="53"/>
      <c r="T191" s="38">
        <f>(B191-'FY2015'!B168)/'FY2015'!B168</f>
        <v>9.7759458888184311E-2</v>
      </c>
      <c r="U191" s="55"/>
      <c r="V191" s="55"/>
    </row>
    <row r="192" spans="1:22" x14ac:dyDescent="0.2">
      <c r="A192" s="9">
        <v>42795</v>
      </c>
      <c r="B192" s="58">
        <v>10362</v>
      </c>
      <c r="C192" s="53"/>
      <c r="D192" s="53"/>
      <c r="T192" s="38">
        <f>(B192-'FY2015'!B169)/'FY2015'!B169</f>
        <v>9.2001264622194115E-2</v>
      </c>
      <c r="U192" s="55"/>
      <c r="V192" s="55"/>
    </row>
    <row r="193" spans="1:22" x14ac:dyDescent="0.2">
      <c r="A193" s="9">
        <v>42826</v>
      </c>
      <c r="B193" s="58">
        <v>10362</v>
      </c>
      <c r="C193" s="53"/>
      <c r="D193" s="53"/>
      <c r="T193" s="38">
        <f>(B193-'FY2015'!B170)/'FY2015'!B170</f>
        <v>7.9599916649301938E-2</v>
      </c>
      <c r="U193" s="55"/>
      <c r="V193" s="55"/>
    </row>
    <row r="194" spans="1:22" x14ac:dyDescent="0.2">
      <c r="A194" s="9">
        <v>42856</v>
      </c>
      <c r="B194" s="58">
        <v>10462</v>
      </c>
      <c r="C194" s="53"/>
      <c r="D194" s="53"/>
      <c r="T194" s="38">
        <f>(B194-'FY2015'!B171)/'FY2015'!B171</f>
        <v>9.5956421537816888E-2</v>
      </c>
      <c r="U194" s="55"/>
      <c r="V194" s="55"/>
    </row>
    <row r="195" spans="1:22" x14ac:dyDescent="0.2">
      <c r="A195" s="9">
        <v>42887</v>
      </c>
      <c r="B195" s="58">
        <v>10515</v>
      </c>
      <c r="C195" s="53"/>
      <c r="D195" s="53"/>
      <c r="T195" s="38">
        <f>(B195-'FY2015'!B172)/'FY2015'!B172</f>
        <v>8.5699535363964893E-2</v>
      </c>
      <c r="U195" s="55"/>
      <c r="V195" s="55"/>
    </row>
    <row r="196" spans="1:22" x14ac:dyDescent="0.2">
      <c r="A196" s="9">
        <v>42917</v>
      </c>
      <c r="B196" s="58">
        <v>12713</v>
      </c>
      <c r="C196" s="53"/>
      <c r="D196" s="53"/>
      <c r="T196" s="38"/>
      <c r="U196" s="55"/>
      <c r="V196" s="55"/>
    </row>
    <row r="197" spans="1:22" x14ac:dyDescent="0.2">
      <c r="A197" s="9">
        <v>42948</v>
      </c>
      <c r="B197" s="58"/>
      <c r="C197" s="53"/>
      <c r="D197" s="53"/>
      <c r="T197" s="38"/>
      <c r="U197" s="55"/>
      <c r="V197" s="55"/>
    </row>
    <row r="198" spans="1:22" x14ac:dyDescent="0.2">
      <c r="A198" s="9">
        <v>42979</v>
      </c>
      <c r="B198" s="58"/>
      <c r="C198" s="53"/>
      <c r="D198" s="53"/>
      <c r="T198" s="38"/>
      <c r="U198" s="55"/>
      <c r="V198" s="55"/>
    </row>
    <row r="199" spans="1:22" x14ac:dyDescent="0.2">
      <c r="A199" s="63" t="s">
        <v>157</v>
      </c>
      <c r="B199" s="63">
        <f>AVERAGE(B187:B198)</f>
        <v>10571.4</v>
      </c>
      <c r="C199" s="53"/>
      <c r="D199" s="53"/>
      <c r="T199" s="39">
        <f>AVERAGE(T187:T198)</f>
        <v>7.6682074225683933E-2</v>
      </c>
      <c r="U199" s="55"/>
      <c r="V199" s="55"/>
    </row>
    <row r="200" spans="1:22" x14ac:dyDescent="0.2">
      <c r="A200" s="77"/>
      <c r="B200" s="77"/>
      <c r="C200" s="83"/>
      <c r="D200" s="83"/>
      <c r="T200" s="51"/>
      <c r="U200" s="50"/>
      <c r="V200" s="50"/>
    </row>
    <row r="201" spans="1:22" x14ac:dyDescent="0.2">
      <c r="A201" s="77"/>
      <c r="B201" s="77"/>
      <c r="C201" s="83"/>
      <c r="D201" s="83"/>
      <c r="T201" s="51"/>
      <c r="U201" s="50"/>
      <c r="V201" s="50"/>
    </row>
    <row r="202" spans="1:22" x14ac:dyDescent="0.2">
      <c r="A202" s="77"/>
      <c r="B202" s="77"/>
      <c r="C202" s="83"/>
      <c r="D202" s="83"/>
      <c r="T202" s="51"/>
      <c r="U202" s="50"/>
      <c r="V202" s="50"/>
    </row>
    <row r="203" spans="1:22" x14ac:dyDescent="0.2">
      <c r="A203" s="77"/>
      <c r="B203" s="77"/>
      <c r="C203" s="83"/>
      <c r="D203" s="83"/>
      <c r="T203" s="51"/>
      <c r="U203" s="50"/>
      <c r="V203" s="50"/>
    </row>
    <row r="204" spans="1:22" x14ac:dyDescent="0.2">
      <c r="A204" s="77"/>
      <c r="B204" s="77"/>
      <c r="C204" s="83"/>
      <c r="D204" s="83"/>
      <c r="T204" s="51"/>
      <c r="U204" s="50"/>
      <c r="V204" s="50"/>
    </row>
    <row r="205" spans="1:22" x14ac:dyDescent="0.2">
      <c r="A205" s="77"/>
      <c r="B205" s="77"/>
      <c r="C205" s="83"/>
      <c r="D205" s="83"/>
      <c r="T205" s="51"/>
      <c r="U205" s="50"/>
      <c r="V205" s="50"/>
    </row>
    <row r="206" spans="1:22" x14ac:dyDescent="0.2">
      <c r="A206" s="77"/>
      <c r="B206" s="77"/>
      <c r="C206" s="83"/>
      <c r="D206" s="83"/>
      <c r="T206" s="51"/>
      <c r="U206" s="50"/>
      <c r="V206" s="50"/>
    </row>
    <row r="207" spans="1:22" x14ac:dyDescent="0.2">
      <c r="A207" s="77"/>
      <c r="B207" s="77"/>
      <c r="C207" s="83"/>
      <c r="D207" s="83"/>
      <c r="T207" s="51"/>
      <c r="U207" s="50"/>
      <c r="V207" s="50"/>
    </row>
    <row r="208" spans="1:22" x14ac:dyDescent="0.2">
      <c r="A208" s="77"/>
      <c r="B208" s="77"/>
      <c r="C208" s="83"/>
      <c r="D208" s="83"/>
      <c r="T208" s="51"/>
      <c r="U208" s="50"/>
      <c r="V208" s="50"/>
    </row>
    <row r="209" spans="1:22" x14ac:dyDescent="0.2">
      <c r="A209" s="77"/>
      <c r="B209" s="77"/>
      <c r="C209" s="83"/>
      <c r="D209" s="83"/>
      <c r="T209" s="51"/>
      <c r="U209" s="50"/>
      <c r="V209" s="50"/>
    </row>
    <row r="211" spans="1:22" ht="15.75" x14ac:dyDescent="0.25">
      <c r="A211" s="207" t="s">
        <v>49</v>
      </c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5"/>
      <c r="T211" s="205"/>
      <c r="U211" s="205"/>
      <c r="V211" s="205"/>
    </row>
    <row r="212" spans="1:22" ht="15.75" x14ac:dyDescent="0.25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6"/>
      <c r="T212" s="186"/>
      <c r="U212" s="186"/>
      <c r="V212" s="186"/>
    </row>
    <row r="213" spans="1:22" x14ac:dyDescent="0.2">
      <c r="A213" s="5"/>
      <c r="B213" s="212" t="s">
        <v>40</v>
      </c>
      <c r="C213" s="213"/>
      <c r="D213" s="214"/>
      <c r="T213" s="212" t="s">
        <v>40</v>
      </c>
      <c r="U213" s="213"/>
      <c r="V213" s="214"/>
    </row>
    <row r="214" spans="1:22" ht="24" x14ac:dyDescent="0.2">
      <c r="A214" s="187" t="s">
        <v>1</v>
      </c>
      <c r="B214" s="37" t="s">
        <v>41</v>
      </c>
      <c r="C214" s="64" t="s">
        <v>42</v>
      </c>
      <c r="D214" s="64" t="s">
        <v>43</v>
      </c>
      <c r="T214" s="8" t="s">
        <v>72</v>
      </c>
      <c r="U214" s="8" t="s">
        <v>73</v>
      </c>
      <c r="V214" s="54"/>
    </row>
    <row r="215" spans="1:22" x14ac:dyDescent="0.2">
      <c r="A215" s="9">
        <v>42644</v>
      </c>
      <c r="B215" s="58">
        <v>916</v>
      </c>
      <c r="C215" s="43">
        <v>411650.98</v>
      </c>
      <c r="D215" s="66">
        <f t="shared" ref="D215:D226" si="10">B215/B25</f>
        <v>1.1779067388481744E-4</v>
      </c>
      <c r="E215" s="68"/>
      <c r="T215" s="102">
        <f>(B215-'FY2015'!B183)/'FY2015'!B183</f>
        <v>1.3274336283185841E-2</v>
      </c>
      <c r="U215" s="102">
        <f>(C215-'FY2015'!C183)/'FY2015'!C183</f>
        <v>0.19332614411484192</v>
      </c>
      <c r="V215" s="55"/>
    </row>
    <row r="216" spans="1:22" x14ac:dyDescent="0.2">
      <c r="A216" s="9">
        <v>42675</v>
      </c>
      <c r="B216" s="58">
        <v>1045</v>
      </c>
      <c r="C216" s="43">
        <v>508319</v>
      </c>
      <c r="D216" s="66">
        <f t="shared" si="10"/>
        <v>1.4145740108506625E-4</v>
      </c>
      <c r="E216" s="68"/>
      <c r="T216" s="102">
        <f>(B216-'FY2015'!B184)/'FY2015'!B184</f>
        <v>0.48648648648648651</v>
      </c>
      <c r="U216" s="102">
        <f>(C216-'FY2015'!C184)/'FY2015'!C184</f>
        <v>0.92365345317893532</v>
      </c>
      <c r="V216" s="55"/>
    </row>
    <row r="217" spans="1:22" x14ac:dyDescent="0.2">
      <c r="A217" s="9">
        <v>42705</v>
      </c>
      <c r="B217" s="58">
        <v>973</v>
      </c>
      <c r="C217" s="43">
        <v>456458.57</v>
      </c>
      <c r="D217" s="66">
        <f t="shared" si="10"/>
        <v>1.2859727075091422E-4</v>
      </c>
      <c r="E217" s="68"/>
      <c r="T217" s="102">
        <f>(B217-'FY2015'!B185)/'FY2015'!B185</f>
        <v>0.29388297872340424</v>
      </c>
      <c r="U217" s="102">
        <f>(C217-'FY2015'!C185)/'FY2015'!C185</f>
        <v>0.65164421722254218</v>
      </c>
      <c r="V217" s="55"/>
    </row>
    <row r="218" spans="1:22" x14ac:dyDescent="0.2">
      <c r="A218" s="9">
        <v>42736</v>
      </c>
      <c r="B218" s="58">
        <v>844</v>
      </c>
      <c r="C218" s="43">
        <v>326861.03999999998</v>
      </c>
      <c r="D218" s="66">
        <f t="shared" si="10"/>
        <v>1.1293242145309236E-4</v>
      </c>
      <c r="E218" s="68"/>
      <c r="T218" s="102">
        <f>(B218-'FY2015'!B186)/'FY2015'!B186</f>
        <v>-0.18058252427184465</v>
      </c>
      <c r="U218" s="102">
        <f>(C218-'FY2015'!C186)/'FY2015'!C186</f>
        <v>-2.1830971816486102E-2</v>
      </c>
      <c r="V218" s="55"/>
    </row>
    <row r="219" spans="1:22" x14ac:dyDescent="0.2">
      <c r="A219" s="9">
        <v>42767</v>
      </c>
      <c r="B219" s="58">
        <v>746</v>
      </c>
      <c r="C219" s="43">
        <v>345486</v>
      </c>
      <c r="D219" s="66">
        <f t="shared" si="10"/>
        <v>1.0175215575445268E-4</v>
      </c>
      <c r="E219" s="68"/>
      <c r="T219" s="102">
        <f>(B219-'FY2015'!B187)/'FY2015'!B187</f>
        <v>5.8156028368794327E-2</v>
      </c>
      <c r="U219" s="102">
        <f>(C219-'FY2015'!C187)/'FY2015'!C187</f>
        <v>0.27889025584949412</v>
      </c>
      <c r="V219" s="55"/>
    </row>
    <row r="220" spans="1:22" x14ac:dyDescent="0.2">
      <c r="A220" s="9">
        <v>42795</v>
      </c>
      <c r="B220" s="58">
        <v>938</v>
      </c>
      <c r="C220" s="43">
        <v>389214</v>
      </c>
      <c r="D220" s="66">
        <f t="shared" si="10"/>
        <v>1.0748336299629698E-4</v>
      </c>
      <c r="E220" s="68"/>
      <c r="T220" s="102">
        <f>(B220-'FY2015'!B188)/'FY2015'!B188</f>
        <v>0.21345407503234154</v>
      </c>
      <c r="U220" s="102">
        <f>(C220-'FY2015'!C188)/'FY2015'!C188</f>
        <v>0.38899396772910649</v>
      </c>
      <c r="V220" s="55"/>
    </row>
    <row r="221" spans="1:22" x14ac:dyDescent="0.2">
      <c r="A221" s="9">
        <v>42826</v>
      </c>
      <c r="B221" s="58">
        <v>922</v>
      </c>
      <c r="C221" s="43">
        <v>322840</v>
      </c>
      <c r="D221" s="66">
        <f t="shared" si="10"/>
        <v>1.1459102995834578E-4</v>
      </c>
      <c r="E221" s="68"/>
      <c r="T221" s="102">
        <f>(B221-'FY2015'!B189)/'FY2015'!B189</f>
        <v>7.7102803738317752E-2</v>
      </c>
      <c r="U221" s="102">
        <f>(C221-'FY2015'!C189)/'FY2015'!C189</f>
        <v>0.17222192771031852</v>
      </c>
      <c r="V221" s="55"/>
    </row>
    <row r="222" spans="1:22" x14ac:dyDescent="0.2">
      <c r="A222" s="9">
        <v>42856</v>
      </c>
      <c r="B222" s="58">
        <v>846</v>
      </c>
      <c r="C222" s="43">
        <v>253809</v>
      </c>
      <c r="D222" s="66">
        <f t="shared" si="10"/>
        <v>1.0096377441255732E-4</v>
      </c>
      <c r="T222" s="102">
        <f>(B222-'FY2015'!B190)/'FY2015'!B190</f>
        <v>3.2967032967032968E-2</v>
      </c>
      <c r="U222" s="102">
        <f>(C222-'FY2015'!C190)/'FY2015'!C190</f>
        <v>-8.8680978918685399E-2</v>
      </c>
      <c r="V222" s="55"/>
    </row>
    <row r="223" spans="1:22" x14ac:dyDescent="0.2">
      <c r="A223" s="9">
        <v>42887</v>
      </c>
      <c r="B223" s="58">
        <v>961</v>
      </c>
      <c r="C223" s="43">
        <v>221096</v>
      </c>
      <c r="D223" s="66">
        <f t="shared" si="10"/>
        <v>1.0865412587755731E-4</v>
      </c>
      <c r="T223" s="102">
        <f>(B223-'FY2015'!B191)/'FY2015'!B191</f>
        <v>9.4533029612756267E-2</v>
      </c>
      <c r="U223" s="102">
        <f>(C223-'FY2015'!C191)/'FY2015'!C191</f>
        <v>-0.2424651500254503</v>
      </c>
      <c r="V223" s="55"/>
    </row>
    <row r="224" spans="1:22" x14ac:dyDescent="0.2">
      <c r="A224" s="9">
        <v>42917</v>
      </c>
      <c r="B224" s="58">
        <v>952</v>
      </c>
      <c r="C224" s="43">
        <v>274181.57</v>
      </c>
      <c r="D224" s="66">
        <f t="shared" si="10"/>
        <v>1.0817183687141596E-4</v>
      </c>
      <c r="T224" s="102"/>
      <c r="U224" s="102"/>
      <c r="V224" s="55"/>
    </row>
    <row r="225" spans="1:22" x14ac:dyDescent="0.2">
      <c r="A225" s="9">
        <v>42948</v>
      </c>
      <c r="B225" s="58"/>
      <c r="C225" s="43"/>
      <c r="D225" s="66" t="e">
        <f t="shared" si="10"/>
        <v>#DIV/0!</v>
      </c>
      <c r="T225" s="102"/>
      <c r="U225" s="102"/>
      <c r="V225" s="55"/>
    </row>
    <row r="226" spans="1:22" x14ac:dyDescent="0.2">
      <c r="A226" s="9">
        <v>42979</v>
      </c>
      <c r="B226" s="58"/>
      <c r="C226" s="43"/>
      <c r="D226" s="66" t="e">
        <f t="shared" si="10"/>
        <v>#DIV/0!</v>
      </c>
      <c r="T226" s="102"/>
      <c r="U226" s="102"/>
      <c r="V226" s="55"/>
    </row>
    <row r="227" spans="1:22" x14ac:dyDescent="0.2">
      <c r="A227" s="108" t="s">
        <v>155</v>
      </c>
      <c r="B227" s="63">
        <f>SUM(B215:B226)</f>
        <v>9143</v>
      </c>
      <c r="C227" s="65">
        <f>SUM(C215:C226)</f>
        <v>3509916.1599999997</v>
      </c>
      <c r="D227" s="67">
        <f>B227/B37</f>
        <v>1.1381409879213154E-4</v>
      </c>
      <c r="T227" s="103">
        <f>AVERAGE(T215:T226)</f>
        <v>0.12103047188227498</v>
      </c>
      <c r="U227" s="103">
        <f>AVERAGE(U215:U226)</f>
        <v>0.25063920722717964</v>
      </c>
      <c r="V227" s="55"/>
    </row>
    <row r="228" spans="1:22" x14ac:dyDescent="0.2">
      <c r="D228" s="68"/>
      <c r="T228" s="57"/>
      <c r="U228" s="57"/>
      <c r="V228" s="57"/>
    </row>
    <row r="229" spans="1:22" x14ac:dyDescent="0.2">
      <c r="B229" s="218" t="s">
        <v>122</v>
      </c>
      <c r="C229" s="218"/>
      <c r="D229" s="69">
        <v>1.3999999999999999E-4</v>
      </c>
      <c r="T229" s="57"/>
      <c r="U229" s="57"/>
      <c r="V229" s="57"/>
    </row>
    <row r="231" spans="1:22" ht="15.75" x14ac:dyDescent="0.25">
      <c r="A231" s="207" t="s">
        <v>96</v>
      </c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5"/>
      <c r="T231" s="205"/>
      <c r="U231" s="205"/>
      <c r="V231" s="205"/>
    </row>
    <row r="233" spans="1:22" x14ac:dyDescent="0.2">
      <c r="A233" s="5"/>
      <c r="B233" s="211" t="s">
        <v>96</v>
      </c>
      <c r="C233" s="211"/>
      <c r="D233" s="211"/>
      <c r="E233" s="134"/>
      <c r="F233" s="134"/>
      <c r="T233" s="212" t="s">
        <v>96</v>
      </c>
      <c r="U233" s="213"/>
      <c r="V233" s="214"/>
    </row>
    <row r="234" spans="1:22" x14ac:dyDescent="0.2">
      <c r="A234" s="187" t="s">
        <v>1</v>
      </c>
      <c r="B234" s="115" t="s">
        <v>97</v>
      </c>
      <c r="C234" s="116" t="s">
        <v>98</v>
      </c>
      <c r="D234" s="64" t="s">
        <v>99</v>
      </c>
      <c r="E234" s="220"/>
      <c r="F234" s="221"/>
      <c r="T234" s="113"/>
      <c r="U234" s="113"/>
      <c r="V234" s="113"/>
    </row>
    <row r="235" spans="1:22" x14ac:dyDescent="0.2">
      <c r="A235" s="9">
        <v>42644</v>
      </c>
      <c r="B235" s="182">
        <v>4</v>
      </c>
      <c r="C235" s="73">
        <f>1</f>
        <v>1</v>
      </c>
      <c r="D235" s="43">
        <v>602.36</v>
      </c>
      <c r="E235" s="219"/>
      <c r="F235" s="219"/>
      <c r="T235" s="114"/>
      <c r="U235" s="114"/>
      <c r="V235" s="114"/>
    </row>
    <row r="236" spans="1:22" x14ac:dyDescent="0.2">
      <c r="A236" s="9">
        <v>42675</v>
      </c>
      <c r="B236" s="182">
        <v>4</v>
      </c>
      <c r="C236" s="73">
        <v>2</v>
      </c>
      <c r="D236" s="43">
        <v>702</v>
      </c>
      <c r="E236" s="219"/>
      <c r="F236" s="219"/>
      <c r="T236" s="114"/>
      <c r="U236" s="114"/>
      <c r="V236" s="114"/>
    </row>
    <row r="237" spans="1:22" x14ac:dyDescent="0.2">
      <c r="A237" s="9">
        <v>42705</v>
      </c>
      <c r="B237" s="182">
        <v>4</v>
      </c>
      <c r="C237" s="73">
        <v>3</v>
      </c>
      <c r="D237" s="43">
        <v>977.36</v>
      </c>
      <c r="E237" s="219"/>
      <c r="F237" s="219"/>
      <c r="T237" s="114"/>
      <c r="U237" s="114"/>
      <c r="V237" s="114"/>
    </row>
    <row r="238" spans="1:22" x14ac:dyDescent="0.2">
      <c r="A238" s="9">
        <v>42736</v>
      </c>
      <c r="B238" s="182">
        <v>4</v>
      </c>
      <c r="C238" s="73">
        <v>2</v>
      </c>
      <c r="D238" s="43">
        <v>882.86</v>
      </c>
      <c r="E238" s="219"/>
      <c r="F238" s="219"/>
      <c r="T238" s="114"/>
      <c r="U238" s="114"/>
      <c r="V238" s="114"/>
    </row>
    <row r="239" spans="1:22" x14ac:dyDescent="0.2">
      <c r="A239" s="9">
        <v>42767</v>
      </c>
      <c r="B239" s="58">
        <v>4</v>
      </c>
      <c r="C239" s="73">
        <v>2</v>
      </c>
      <c r="D239" s="43">
        <v>652.36</v>
      </c>
      <c r="E239" s="219"/>
      <c r="F239" s="219"/>
      <c r="T239" s="114"/>
      <c r="U239" s="114"/>
      <c r="V239" s="114"/>
    </row>
    <row r="240" spans="1:22" x14ac:dyDescent="0.2">
      <c r="A240" s="9">
        <v>42795</v>
      </c>
      <c r="B240" s="58">
        <v>4</v>
      </c>
      <c r="C240" s="73">
        <v>60</v>
      </c>
      <c r="D240" s="43">
        <v>2657.75</v>
      </c>
      <c r="E240" s="219"/>
      <c r="F240" s="219"/>
      <c r="T240" s="114"/>
      <c r="U240" s="114"/>
      <c r="V240" s="114"/>
    </row>
    <row r="241" spans="1:22" x14ac:dyDescent="0.2">
      <c r="A241" s="9">
        <v>42826</v>
      </c>
      <c r="B241" s="58">
        <v>4</v>
      </c>
      <c r="C241" s="73">
        <v>2</v>
      </c>
      <c r="D241" s="158">
        <v>150</v>
      </c>
      <c r="E241" s="219"/>
      <c r="F241" s="219"/>
      <c r="T241" s="114"/>
      <c r="U241" s="114"/>
      <c r="V241" s="114"/>
    </row>
    <row r="242" spans="1:22" x14ac:dyDescent="0.2">
      <c r="A242" s="9">
        <v>42856</v>
      </c>
      <c r="B242" s="58">
        <v>4</v>
      </c>
      <c r="C242" s="73">
        <v>2</v>
      </c>
      <c r="D242" s="43">
        <v>417.5</v>
      </c>
      <c r="E242" s="219"/>
      <c r="F242" s="219"/>
      <c r="T242" s="114"/>
      <c r="U242" s="114"/>
      <c r="V242" s="114"/>
    </row>
    <row r="243" spans="1:22" x14ac:dyDescent="0.2">
      <c r="A243" s="9">
        <v>42887</v>
      </c>
      <c r="B243" s="58">
        <v>4</v>
      </c>
      <c r="C243" s="73">
        <v>1</v>
      </c>
      <c r="D243" s="43">
        <v>250</v>
      </c>
      <c r="E243" s="219"/>
      <c r="F243" s="219"/>
      <c r="T243" s="114"/>
      <c r="U243" s="114"/>
      <c r="V243" s="114"/>
    </row>
    <row r="244" spans="1:22" x14ac:dyDescent="0.2">
      <c r="A244" s="9">
        <v>42917</v>
      </c>
      <c r="B244" s="58">
        <v>4</v>
      </c>
      <c r="C244" s="73">
        <v>0</v>
      </c>
      <c r="D244" s="43">
        <v>0</v>
      </c>
      <c r="E244" s="219"/>
      <c r="F244" s="219"/>
      <c r="T244" s="114"/>
      <c r="U244" s="114"/>
      <c r="V244" s="114"/>
    </row>
    <row r="245" spans="1:22" x14ac:dyDescent="0.2">
      <c r="A245" s="9">
        <v>42948</v>
      </c>
      <c r="B245" s="58"/>
      <c r="C245" s="73"/>
      <c r="D245" s="43"/>
      <c r="E245" s="219"/>
      <c r="F245" s="219"/>
      <c r="T245" s="114"/>
      <c r="U245" s="114"/>
      <c r="V245" s="114"/>
    </row>
    <row r="246" spans="1:22" x14ac:dyDescent="0.2">
      <c r="A246" s="9">
        <v>42979</v>
      </c>
      <c r="B246" s="58"/>
      <c r="C246" s="73"/>
      <c r="D246" s="43"/>
      <c r="E246" s="219"/>
      <c r="F246" s="219"/>
      <c r="T246" s="114"/>
      <c r="U246" s="114"/>
      <c r="V246" s="114"/>
    </row>
    <row r="247" spans="1:22" x14ac:dyDescent="0.2">
      <c r="A247" s="110" t="s">
        <v>155</v>
      </c>
      <c r="B247" s="135"/>
      <c r="C247" s="63">
        <f>SUM(C235:C246)</f>
        <v>75</v>
      </c>
      <c r="D247" s="65">
        <f>SUM(D235:D246)</f>
        <v>7292.1900000000005</v>
      </c>
      <c r="E247" s="223"/>
      <c r="F247" s="223"/>
      <c r="T247" s="51"/>
      <c r="U247" s="50"/>
      <c r="V247" s="50"/>
    </row>
    <row r="248" spans="1:22" x14ac:dyDescent="0.2">
      <c r="A248" s="118" t="s">
        <v>100</v>
      </c>
      <c r="B248" s="77" t="s">
        <v>126</v>
      </c>
      <c r="C248" s="77"/>
      <c r="D248" s="77"/>
    </row>
    <row r="249" spans="1:22" x14ac:dyDescent="0.2">
      <c r="A249" s="118"/>
      <c r="B249" s="77" t="s">
        <v>150</v>
      </c>
      <c r="C249" s="77"/>
      <c r="D249" s="77"/>
    </row>
    <row r="250" spans="1:22" x14ac:dyDescent="0.2">
      <c r="A250" s="118"/>
      <c r="B250" s="77"/>
      <c r="C250" s="77"/>
      <c r="D250" s="77"/>
    </row>
    <row r="251" spans="1:22" ht="15.75" x14ac:dyDescent="0.25">
      <c r="A251" s="207" t="s">
        <v>102</v>
      </c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5"/>
      <c r="T251" s="205"/>
      <c r="U251" s="205"/>
      <c r="V251" s="205"/>
    </row>
    <row r="252" spans="1:22" ht="15.75" x14ac:dyDescent="0.25">
      <c r="A252" s="185"/>
      <c r="B252" s="185"/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6"/>
      <c r="T252" s="186"/>
      <c r="U252" s="186"/>
      <c r="V252" s="186"/>
    </row>
    <row r="253" spans="1:22" x14ac:dyDescent="0.2">
      <c r="A253" s="5"/>
      <c r="B253" s="211" t="s">
        <v>103</v>
      </c>
      <c r="C253" s="211"/>
      <c r="D253" s="211"/>
      <c r="E253" s="224"/>
      <c r="F253" s="224"/>
      <c r="T253" s="212" t="s">
        <v>80</v>
      </c>
      <c r="U253" s="213"/>
      <c r="V253" s="214"/>
    </row>
    <row r="254" spans="1:22" ht="24" x14ac:dyDescent="0.2">
      <c r="A254" s="187" t="s">
        <v>1</v>
      </c>
      <c r="B254" s="115" t="s">
        <v>79</v>
      </c>
      <c r="C254" s="116" t="s">
        <v>83</v>
      </c>
      <c r="D254" s="116" t="s">
        <v>82</v>
      </c>
      <c r="E254" s="225" t="s">
        <v>81</v>
      </c>
      <c r="F254" s="226"/>
      <c r="T254" s="8" t="s">
        <v>93</v>
      </c>
      <c r="U254" s="8" t="s">
        <v>95</v>
      </c>
      <c r="V254" s="8" t="s">
        <v>94</v>
      </c>
    </row>
    <row r="255" spans="1:22" x14ac:dyDescent="0.2">
      <c r="A255" s="9">
        <v>42644</v>
      </c>
      <c r="B255" s="182">
        <v>782</v>
      </c>
      <c r="C255" s="73">
        <v>399</v>
      </c>
      <c r="D255" s="73">
        <v>239</v>
      </c>
      <c r="E255" s="222">
        <f t="shared" ref="E255:E261" si="11">D255/B255</f>
        <v>0.30562659846547313</v>
      </c>
      <c r="F255" s="222"/>
      <c r="T255" s="38">
        <f>(B255-'FY2015'!B223)/'FY2015'!B223</f>
        <v>0.15</v>
      </c>
      <c r="U255" s="38">
        <f>(C255-'FY2015'!C223)/'FY2015'!C223</f>
        <v>6.4000000000000001E-2</v>
      </c>
      <c r="V255" s="38">
        <f>(D255-'FY2015'!D223)/'FY2015'!D223</f>
        <v>-0.14642857142857144</v>
      </c>
    </row>
    <row r="256" spans="1:22" x14ac:dyDescent="0.2">
      <c r="A256" s="9">
        <v>42675</v>
      </c>
      <c r="B256" s="190">
        <v>782</v>
      </c>
      <c r="C256" s="73">
        <v>399</v>
      </c>
      <c r="D256" s="73">
        <v>239</v>
      </c>
      <c r="E256" s="222">
        <f t="shared" si="11"/>
        <v>0.30562659846547313</v>
      </c>
      <c r="F256" s="222"/>
      <c r="T256" s="38">
        <f>(B256-'FY2015'!B224)/'FY2015'!B224</f>
        <v>0.14494875549048317</v>
      </c>
      <c r="U256" s="38">
        <f>(C256-'FY2015'!C224)/'FY2015'!C224</f>
        <v>6.4000000000000001E-2</v>
      </c>
      <c r="V256" s="38">
        <f>(D256-'FY2015'!D224)/'FY2015'!D224</f>
        <v>-0.12773722627737227</v>
      </c>
    </row>
    <row r="257" spans="1:22" x14ac:dyDescent="0.2">
      <c r="A257" s="9">
        <v>42705</v>
      </c>
      <c r="B257" s="182">
        <v>782</v>
      </c>
      <c r="C257" s="73">
        <v>399</v>
      </c>
      <c r="D257" s="73">
        <v>239</v>
      </c>
      <c r="E257" s="222">
        <f t="shared" si="11"/>
        <v>0.30562659846547313</v>
      </c>
      <c r="F257" s="222"/>
      <c r="T257" s="38">
        <f>(B257-'FY2015'!B225)/'FY2015'!B225</f>
        <v>0.13662790697674418</v>
      </c>
      <c r="U257" s="38">
        <f>(C257-'FY2015'!C225)/'FY2015'!C225</f>
        <v>5.8355437665782495E-2</v>
      </c>
      <c r="V257" s="38">
        <f>(D257-'FY2015'!D225)/'FY2015'!D225</f>
        <v>-0.12132352941176471</v>
      </c>
    </row>
    <row r="258" spans="1:22" x14ac:dyDescent="0.2">
      <c r="A258" s="9">
        <v>42736</v>
      </c>
      <c r="B258" s="182">
        <v>782</v>
      </c>
      <c r="C258" s="73">
        <v>399</v>
      </c>
      <c r="D258" s="73">
        <v>238</v>
      </c>
      <c r="E258" s="222">
        <f t="shared" si="11"/>
        <v>0.30434782608695654</v>
      </c>
      <c r="F258" s="222"/>
      <c r="T258" s="38">
        <f>(B258-'FY2015'!B226)/'FY2015'!B226</f>
        <v>0.12680115273775217</v>
      </c>
      <c r="U258" s="38">
        <f>(C258-'FY2015'!C226)/'FY2015'!C226</f>
        <v>4.7244094488188976E-2</v>
      </c>
      <c r="V258" s="38">
        <f>(D258-'FY2015'!D226)/'FY2015'!D226</f>
        <v>-7.7519379844961239E-2</v>
      </c>
    </row>
    <row r="259" spans="1:22" x14ac:dyDescent="0.2">
      <c r="A259" s="9">
        <v>42767</v>
      </c>
      <c r="B259" s="58">
        <v>782</v>
      </c>
      <c r="C259" s="73">
        <v>399</v>
      </c>
      <c r="D259" s="73">
        <v>235</v>
      </c>
      <c r="E259" s="222">
        <f t="shared" si="11"/>
        <v>0.30051150895140666</v>
      </c>
      <c r="F259" s="222"/>
      <c r="T259" s="38">
        <f>(B259-'FY2015'!B227)/'FY2015'!B227</f>
        <v>0.12680115273775217</v>
      </c>
      <c r="U259" s="38">
        <f>(C259-'FY2015'!C227)/'FY2015'!C227</f>
        <v>4.7244094488188976E-2</v>
      </c>
      <c r="V259" s="38">
        <f>(D259-'FY2015'!D227)/'FY2015'!D227</f>
        <v>-7.8431372549019607E-2</v>
      </c>
    </row>
    <row r="260" spans="1:22" x14ac:dyDescent="0.2">
      <c r="A260" s="9">
        <v>42795</v>
      </c>
      <c r="B260" s="58">
        <v>807</v>
      </c>
      <c r="C260" s="73">
        <v>399</v>
      </c>
      <c r="D260" s="73">
        <v>223</v>
      </c>
      <c r="E260" s="222">
        <f t="shared" si="11"/>
        <v>0.27633209417596033</v>
      </c>
      <c r="F260" s="222"/>
      <c r="T260" s="38">
        <f>(B260-'FY2015'!B228)/'FY2015'!B228</f>
        <v>0.16115107913669063</v>
      </c>
      <c r="U260" s="38">
        <f>(C260-'FY2015'!C228)/'FY2015'!C228</f>
        <v>3.90625E-2</v>
      </c>
      <c r="V260" s="38">
        <f>(D260-'FY2015'!D228)/'FY2015'!D228</f>
        <v>-0.1423076923076923</v>
      </c>
    </row>
    <row r="261" spans="1:22" x14ac:dyDescent="0.2">
      <c r="A261" s="9">
        <v>42826</v>
      </c>
      <c r="B261" s="58">
        <v>807</v>
      </c>
      <c r="C261" s="73">
        <v>399</v>
      </c>
      <c r="D261" s="73">
        <v>213</v>
      </c>
      <c r="E261" s="222">
        <f t="shared" si="11"/>
        <v>0.26394052044609667</v>
      </c>
      <c r="F261" s="222"/>
      <c r="T261" s="38">
        <f>(B261-'FY2015'!B229)/'FY2015'!B229</f>
        <v>0.16115107913669063</v>
      </c>
      <c r="U261" s="38">
        <f>(C261-'FY2015'!C229)/'FY2015'!C229</f>
        <v>3.90625E-2</v>
      </c>
      <c r="V261" s="38">
        <f>(D261-'FY2015'!D229)/'FY2015'!D229</f>
        <v>-0.17120622568093385</v>
      </c>
    </row>
    <row r="262" spans="1:22" x14ac:dyDescent="0.2">
      <c r="A262" s="9">
        <v>42856</v>
      </c>
      <c r="B262" s="58">
        <v>807</v>
      </c>
      <c r="C262" s="73">
        <v>401</v>
      </c>
      <c r="D262" s="73">
        <v>214</v>
      </c>
      <c r="E262" s="222">
        <f t="shared" ref="E262" si="12">D262/B262</f>
        <v>0.26517967781908303</v>
      </c>
      <c r="F262" s="222"/>
      <c r="T262" s="38">
        <f>(B262-'FY2015'!B230)/'FY2015'!B230</f>
        <v>0.16115107913669063</v>
      </c>
      <c r="U262" s="38">
        <f>(C262-'FY2015'!C230)/'FY2015'!C230</f>
        <v>4.4270833333333336E-2</v>
      </c>
      <c r="V262" s="38">
        <f>(D262-'FY2015'!D230)/'FY2015'!D230</f>
        <v>-0.14741035856573706</v>
      </c>
    </row>
    <row r="263" spans="1:22" x14ac:dyDescent="0.2">
      <c r="A263" s="9">
        <v>42887</v>
      </c>
      <c r="B263" s="58">
        <v>788</v>
      </c>
      <c r="C263" s="73">
        <v>397</v>
      </c>
      <c r="D263" s="73">
        <v>255</v>
      </c>
      <c r="E263" s="222">
        <f t="shared" ref="E263" si="13">D263/B263</f>
        <v>0.32360406091370558</v>
      </c>
      <c r="F263" s="222"/>
      <c r="T263" s="38"/>
      <c r="U263" s="38"/>
      <c r="V263" s="38"/>
    </row>
    <row r="264" spans="1:22" x14ac:dyDescent="0.2">
      <c r="A264" s="9">
        <v>42917</v>
      </c>
      <c r="B264" s="58">
        <v>788</v>
      </c>
      <c r="C264" s="73">
        <v>398</v>
      </c>
      <c r="D264" s="73">
        <v>229</v>
      </c>
      <c r="E264" s="222">
        <f t="shared" ref="E264" si="14">D264/B264</f>
        <v>0.29060913705583757</v>
      </c>
      <c r="F264" s="222"/>
      <c r="T264" s="38"/>
      <c r="U264" s="38"/>
      <c r="V264" s="38"/>
    </row>
    <row r="265" spans="1:22" x14ac:dyDescent="0.2">
      <c r="A265" s="9">
        <v>42948</v>
      </c>
      <c r="B265" s="58"/>
      <c r="C265" s="73"/>
      <c r="D265" s="73"/>
      <c r="E265" s="222"/>
      <c r="F265" s="222"/>
      <c r="T265" s="38"/>
      <c r="U265" s="38"/>
      <c r="V265" s="38"/>
    </row>
    <row r="266" spans="1:22" x14ac:dyDescent="0.2">
      <c r="A266" s="9">
        <v>42979</v>
      </c>
      <c r="B266" s="58"/>
      <c r="C266" s="73"/>
      <c r="D266" s="73"/>
      <c r="E266" s="222"/>
      <c r="F266" s="222"/>
      <c r="T266" s="38">
        <f>(B266-'FY2015'!B234)/'FY2015'!B234</f>
        <v>-1</v>
      </c>
      <c r="U266" s="38">
        <f>(C266-'FY2015'!C234)/'FY2015'!C234</f>
        <v>-1</v>
      </c>
      <c r="V266" s="38">
        <f>(D266-'FY2015'!D234)/'FY2015'!D234</f>
        <v>-1</v>
      </c>
    </row>
    <row r="267" spans="1:22" x14ac:dyDescent="0.2">
      <c r="A267" s="130"/>
      <c r="B267" s="131"/>
      <c r="C267" s="132"/>
      <c r="D267" s="132"/>
      <c r="E267" s="184"/>
      <c r="F267" s="184"/>
      <c r="T267" s="50"/>
      <c r="U267" s="50"/>
      <c r="V267" s="50"/>
    </row>
    <row r="269" spans="1:22" x14ac:dyDescent="0.2">
      <c r="A269" s="5"/>
      <c r="B269" s="208" t="s">
        <v>104</v>
      </c>
      <c r="C269" s="224"/>
      <c r="D269" s="224"/>
      <c r="E269" s="224"/>
      <c r="F269" s="224"/>
      <c r="G269" s="224"/>
      <c r="H269" s="224"/>
      <c r="I269" s="224"/>
      <c r="J269" s="224"/>
      <c r="K269" s="224"/>
      <c r="L269" s="138"/>
      <c r="M269" s="138"/>
      <c r="N269" s="138"/>
    </row>
    <row r="270" spans="1:22" ht="33.75" x14ac:dyDescent="0.2">
      <c r="A270" s="187" t="s">
        <v>1</v>
      </c>
      <c r="B270" s="115" t="s">
        <v>105</v>
      </c>
      <c r="C270" s="116" t="s">
        <v>106</v>
      </c>
      <c r="D270" s="116" t="s">
        <v>107</v>
      </c>
      <c r="E270" s="228" t="s">
        <v>108</v>
      </c>
      <c r="F270" s="229"/>
      <c r="G270" s="139" t="s">
        <v>109</v>
      </c>
      <c r="H270" s="139" t="s">
        <v>110</v>
      </c>
      <c r="I270" s="115" t="s">
        <v>111</v>
      </c>
      <c r="J270" s="139" t="s">
        <v>112</v>
      </c>
      <c r="K270" s="139" t="s">
        <v>113</v>
      </c>
    </row>
    <row r="271" spans="1:22" x14ac:dyDescent="0.2">
      <c r="A271" s="9">
        <v>42644</v>
      </c>
      <c r="B271" s="58">
        <v>3</v>
      </c>
      <c r="C271" s="73">
        <v>2</v>
      </c>
      <c r="D271" s="137">
        <f t="shared" ref="D271:D280" si="15">C271/B271</f>
        <v>0.66666666666666663</v>
      </c>
      <c r="E271" s="227">
        <v>3</v>
      </c>
      <c r="F271" s="224"/>
      <c r="G271" s="73">
        <v>2</v>
      </c>
      <c r="H271" s="137">
        <f t="shared" ref="H271:H280" si="16">G271/E271</f>
        <v>0.66666666666666663</v>
      </c>
      <c r="I271" s="58">
        <v>30</v>
      </c>
      <c r="J271" s="73">
        <v>21</v>
      </c>
      <c r="K271" s="137">
        <f t="shared" ref="K271:K280" si="17">J271/I271</f>
        <v>0.7</v>
      </c>
    </row>
    <row r="272" spans="1:22" x14ac:dyDescent="0.2">
      <c r="A272" s="9">
        <v>42675</v>
      </c>
      <c r="B272" s="182">
        <v>3</v>
      </c>
      <c r="C272" s="73">
        <v>3</v>
      </c>
      <c r="D272" s="137">
        <f t="shared" si="15"/>
        <v>1</v>
      </c>
      <c r="E272" s="227">
        <v>3</v>
      </c>
      <c r="F272" s="224"/>
      <c r="G272" s="73">
        <v>3</v>
      </c>
      <c r="H272" s="137">
        <f t="shared" si="16"/>
        <v>1</v>
      </c>
      <c r="I272" s="182">
        <v>30</v>
      </c>
      <c r="J272" s="73">
        <v>21</v>
      </c>
      <c r="K272" s="137">
        <f t="shared" si="17"/>
        <v>0.7</v>
      </c>
    </row>
    <row r="273" spans="1:11" x14ac:dyDescent="0.2">
      <c r="A273" s="9">
        <v>42705</v>
      </c>
      <c r="B273" s="182">
        <v>3</v>
      </c>
      <c r="C273" s="73">
        <v>3</v>
      </c>
      <c r="D273" s="137">
        <f t="shared" si="15"/>
        <v>1</v>
      </c>
      <c r="E273" s="227">
        <v>3</v>
      </c>
      <c r="F273" s="224"/>
      <c r="G273" s="73">
        <v>3</v>
      </c>
      <c r="H273" s="137">
        <f t="shared" si="16"/>
        <v>1</v>
      </c>
      <c r="I273" s="182">
        <v>30</v>
      </c>
      <c r="J273" s="73">
        <v>21</v>
      </c>
      <c r="K273" s="137">
        <f t="shared" si="17"/>
        <v>0.7</v>
      </c>
    </row>
    <row r="274" spans="1:11" x14ac:dyDescent="0.2">
      <c r="A274" s="9">
        <v>42736</v>
      </c>
      <c r="B274" s="182">
        <v>3</v>
      </c>
      <c r="C274" s="73">
        <v>3</v>
      </c>
      <c r="D274" s="137">
        <f t="shared" si="15"/>
        <v>1</v>
      </c>
      <c r="E274" s="227">
        <v>3</v>
      </c>
      <c r="F274" s="224"/>
      <c r="G274" s="73">
        <v>3</v>
      </c>
      <c r="H274" s="137">
        <f t="shared" si="16"/>
        <v>1</v>
      </c>
      <c r="I274" s="182">
        <v>30</v>
      </c>
      <c r="J274" s="73">
        <v>17</v>
      </c>
      <c r="K274" s="137">
        <f t="shared" si="17"/>
        <v>0.56666666666666665</v>
      </c>
    </row>
    <row r="275" spans="1:11" x14ac:dyDescent="0.2">
      <c r="A275" s="9">
        <v>42767</v>
      </c>
      <c r="B275" s="58">
        <v>3</v>
      </c>
      <c r="C275" s="73">
        <v>3</v>
      </c>
      <c r="D275" s="137">
        <f t="shared" si="15"/>
        <v>1</v>
      </c>
      <c r="E275" s="227">
        <v>3</v>
      </c>
      <c r="F275" s="224"/>
      <c r="G275" s="73">
        <v>3</v>
      </c>
      <c r="H275" s="137">
        <f t="shared" si="16"/>
        <v>1</v>
      </c>
      <c r="I275" s="58">
        <v>30</v>
      </c>
      <c r="J275" s="73">
        <v>17</v>
      </c>
      <c r="K275" s="137">
        <f t="shared" si="17"/>
        <v>0.56666666666666665</v>
      </c>
    </row>
    <row r="276" spans="1:11" x14ac:dyDescent="0.2">
      <c r="A276" s="9">
        <v>42795</v>
      </c>
      <c r="B276" s="58">
        <v>3</v>
      </c>
      <c r="C276" s="73">
        <v>3</v>
      </c>
      <c r="D276" s="137">
        <f t="shared" si="15"/>
        <v>1</v>
      </c>
      <c r="E276" s="227">
        <v>3</v>
      </c>
      <c r="F276" s="224"/>
      <c r="G276" s="73">
        <v>3</v>
      </c>
      <c r="H276" s="137">
        <f t="shared" si="16"/>
        <v>1</v>
      </c>
      <c r="I276" s="58">
        <v>30</v>
      </c>
      <c r="J276" s="73">
        <v>15</v>
      </c>
      <c r="K276" s="137">
        <f t="shared" si="17"/>
        <v>0.5</v>
      </c>
    </row>
    <row r="277" spans="1:11" x14ac:dyDescent="0.2">
      <c r="A277" s="9">
        <v>42826</v>
      </c>
      <c r="B277" s="58">
        <v>3</v>
      </c>
      <c r="C277" s="73">
        <v>3</v>
      </c>
      <c r="D277" s="137">
        <f t="shared" si="15"/>
        <v>1</v>
      </c>
      <c r="E277" s="227">
        <v>3</v>
      </c>
      <c r="F277" s="224"/>
      <c r="G277" s="73">
        <v>3</v>
      </c>
      <c r="H277" s="137">
        <f t="shared" si="16"/>
        <v>1</v>
      </c>
      <c r="I277" s="58">
        <v>30</v>
      </c>
      <c r="J277" s="73">
        <v>15</v>
      </c>
      <c r="K277" s="137">
        <f t="shared" si="17"/>
        <v>0.5</v>
      </c>
    </row>
    <row r="278" spans="1:11" x14ac:dyDescent="0.2">
      <c r="A278" s="9">
        <v>42856</v>
      </c>
      <c r="B278" s="58">
        <v>3</v>
      </c>
      <c r="C278" s="73">
        <v>3</v>
      </c>
      <c r="D278" s="137">
        <f t="shared" si="15"/>
        <v>1</v>
      </c>
      <c r="E278" s="227">
        <v>3</v>
      </c>
      <c r="F278" s="224"/>
      <c r="G278" s="73">
        <v>3</v>
      </c>
      <c r="H278" s="137">
        <f t="shared" si="16"/>
        <v>1</v>
      </c>
      <c r="I278" s="58">
        <v>30</v>
      </c>
      <c r="J278" s="73">
        <v>14</v>
      </c>
      <c r="K278" s="137">
        <f t="shared" si="17"/>
        <v>0.46666666666666667</v>
      </c>
    </row>
    <row r="279" spans="1:11" x14ac:dyDescent="0.2">
      <c r="A279" s="9">
        <v>42887</v>
      </c>
      <c r="B279" s="58">
        <v>3</v>
      </c>
      <c r="C279" s="73">
        <v>3</v>
      </c>
      <c r="D279" s="137">
        <f t="shared" si="15"/>
        <v>1</v>
      </c>
      <c r="E279" s="227">
        <v>3</v>
      </c>
      <c r="F279" s="224"/>
      <c r="G279" s="73">
        <v>3</v>
      </c>
      <c r="H279" s="137">
        <f t="shared" si="16"/>
        <v>1</v>
      </c>
      <c r="I279" s="58">
        <v>30</v>
      </c>
      <c r="J279" s="73">
        <v>15</v>
      </c>
      <c r="K279" s="137">
        <f t="shared" si="17"/>
        <v>0.5</v>
      </c>
    </row>
    <row r="280" spans="1:11" x14ac:dyDescent="0.2">
      <c r="A280" s="9">
        <v>42917</v>
      </c>
      <c r="B280" s="58">
        <v>3</v>
      </c>
      <c r="C280" s="73">
        <v>3</v>
      </c>
      <c r="D280" s="137">
        <f t="shared" si="15"/>
        <v>1</v>
      </c>
      <c r="E280" s="227">
        <v>3</v>
      </c>
      <c r="F280" s="224"/>
      <c r="G280" s="73">
        <v>3</v>
      </c>
      <c r="H280" s="137">
        <f t="shared" si="16"/>
        <v>1</v>
      </c>
      <c r="I280" s="58">
        <v>30</v>
      </c>
      <c r="J280" s="73">
        <v>18</v>
      </c>
      <c r="K280" s="137">
        <f t="shared" si="17"/>
        <v>0.6</v>
      </c>
    </row>
    <row r="281" spans="1:11" x14ac:dyDescent="0.2">
      <c r="A281" s="9">
        <v>42948</v>
      </c>
      <c r="B281" s="58"/>
      <c r="C281" s="73"/>
      <c r="D281" s="137"/>
      <c r="E281" s="227"/>
      <c r="F281" s="224"/>
      <c r="G281" s="73"/>
      <c r="H281" s="137"/>
      <c r="I281" s="58"/>
      <c r="J281" s="73"/>
      <c r="K281" s="137"/>
    </row>
    <row r="282" spans="1:11" x14ac:dyDescent="0.2">
      <c r="A282" s="9">
        <v>42979</v>
      </c>
      <c r="B282" s="58"/>
      <c r="C282" s="73"/>
      <c r="D282" s="137"/>
      <c r="E282" s="227"/>
      <c r="F282" s="224"/>
      <c r="G282" s="73"/>
      <c r="H282" s="137"/>
      <c r="I282" s="58"/>
      <c r="J282" s="73"/>
      <c r="K282" s="137"/>
    </row>
  </sheetData>
  <mergeCells count="76">
    <mergeCell ref="E281:F281"/>
    <mergeCell ref="E282:F282"/>
    <mergeCell ref="E275:F275"/>
    <mergeCell ref="E276:F276"/>
    <mergeCell ref="E277:F277"/>
    <mergeCell ref="E278:F278"/>
    <mergeCell ref="E279:F279"/>
    <mergeCell ref="E280:F280"/>
    <mergeCell ref="E274:F274"/>
    <mergeCell ref="E261:F261"/>
    <mergeCell ref="E262:F262"/>
    <mergeCell ref="E263:F263"/>
    <mergeCell ref="E264:F264"/>
    <mergeCell ref="E265:F265"/>
    <mergeCell ref="E266:F266"/>
    <mergeCell ref="B269:K269"/>
    <mergeCell ref="E270:F270"/>
    <mergeCell ref="E271:F271"/>
    <mergeCell ref="E272:F272"/>
    <mergeCell ref="E273:F273"/>
    <mergeCell ref="E260:F260"/>
    <mergeCell ref="E246:F246"/>
    <mergeCell ref="E247:F247"/>
    <mergeCell ref="A251:V251"/>
    <mergeCell ref="B253:F253"/>
    <mergeCell ref="T253:V253"/>
    <mergeCell ref="E254:F254"/>
    <mergeCell ref="E255:F255"/>
    <mergeCell ref="E256:F256"/>
    <mergeCell ref="E257:F257"/>
    <mergeCell ref="E258:F258"/>
    <mergeCell ref="E259:F259"/>
    <mergeCell ref="E245:F245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B233:D233"/>
    <mergeCell ref="T233:V233"/>
    <mergeCell ref="B150:D150"/>
    <mergeCell ref="A166:V166"/>
    <mergeCell ref="B168:D168"/>
    <mergeCell ref="T168:V168"/>
    <mergeCell ref="B185:D185"/>
    <mergeCell ref="T185:V185"/>
    <mergeCell ref="A211:V211"/>
    <mergeCell ref="B213:D213"/>
    <mergeCell ref="T213:V213"/>
    <mergeCell ref="B229:C229"/>
    <mergeCell ref="A231:V231"/>
    <mergeCell ref="B98:D98"/>
    <mergeCell ref="T98:V98"/>
    <mergeCell ref="B116:D116"/>
    <mergeCell ref="T116:V116"/>
    <mergeCell ref="B133:D133"/>
    <mergeCell ref="T133:V133"/>
    <mergeCell ref="B40:D40"/>
    <mergeCell ref="T40:V40"/>
    <mergeCell ref="B57:D57"/>
    <mergeCell ref="T57:V57"/>
    <mergeCell ref="B74:D74"/>
    <mergeCell ref="T74:V74"/>
    <mergeCell ref="B23:D23"/>
    <mergeCell ref="T23:V23"/>
    <mergeCell ref="A1:V1"/>
    <mergeCell ref="A2:V2"/>
    <mergeCell ref="A5:V5"/>
    <mergeCell ref="B7:D7"/>
    <mergeCell ref="T7:V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2"/>
  <sheetViews>
    <sheetView topLeftCell="A102" zoomScale="75" zoomScaleNormal="75" workbookViewId="0">
      <selection activeCell="B10" sqref="B10"/>
    </sheetView>
  </sheetViews>
  <sheetFormatPr defaultColWidth="12.85546875" defaultRowHeight="12.75" x14ac:dyDescent="0.2"/>
  <cols>
    <col min="1" max="1" width="43" bestFit="1" customWidth="1"/>
    <col min="2" max="2" width="24.28515625" customWidth="1"/>
    <col min="3" max="3" width="19.7109375" bestFit="1" customWidth="1"/>
    <col min="4" max="4" width="22" bestFit="1" customWidth="1"/>
    <col min="5" max="5" width="6.7109375" customWidth="1"/>
    <col min="6" max="6" width="8" customWidth="1"/>
  </cols>
  <sheetData>
    <row r="1" spans="1:22" ht="18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5"/>
      <c r="T1" s="205"/>
      <c r="U1" s="205"/>
      <c r="V1" s="205"/>
    </row>
    <row r="2" spans="1:22" ht="15.75" x14ac:dyDescent="0.25">
      <c r="A2" s="206" t="s">
        <v>151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5"/>
      <c r="T2" s="205"/>
      <c r="U2" s="205"/>
      <c r="V2" s="205"/>
    </row>
    <row r="3" spans="1:22" ht="15.75" x14ac:dyDescent="0.25">
      <c r="A3" s="192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59"/>
      <c r="T3" s="159"/>
      <c r="U3" s="159"/>
      <c r="V3" s="159"/>
    </row>
    <row r="4" spans="1:22" ht="15.75" x14ac:dyDescent="0.2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59"/>
      <c r="T4" s="159"/>
      <c r="U4" s="159"/>
      <c r="V4" s="159"/>
    </row>
    <row r="5" spans="1:22" ht="15.75" x14ac:dyDescent="0.25">
      <c r="A5" s="207" t="s">
        <v>12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5"/>
      <c r="T5" s="205"/>
      <c r="U5" s="205"/>
      <c r="V5" s="205"/>
    </row>
    <row r="7" spans="1:22" x14ac:dyDescent="0.2">
      <c r="B7" s="203" t="s">
        <v>5</v>
      </c>
      <c r="C7" s="203"/>
      <c r="D7" s="203"/>
      <c r="F7" s="16"/>
      <c r="T7" s="203" t="s">
        <v>5</v>
      </c>
      <c r="U7" s="203"/>
      <c r="V7" s="203"/>
    </row>
    <row r="8" spans="1:22" ht="24" x14ac:dyDescent="0.2">
      <c r="A8" s="8" t="s">
        <v>1</v>
      </c>
      <c r="B8" s="8" t="s">
        <v>2</v>
      </c>
      <c r="C8" s="8" t="s">
        <v>3</v>
      </c>
      <c r="D8" s="8" t="s">
        <v>4</v>
      </c>
      <c r="E8" s="3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8" t="s">
        <v>9</v>
      </c>
      <c r="U8" s="8" t="s">
        <v>10</v>
      </c>
      <c r="V8" s="8" t="s">
        <v>11</v>
      </c>
    </row>
    <row r="9" spans="1:22" x14ac:dyDescent="0.2">
      <c r="A9" s="9">
        <v>42278</v>
      </c>
      <c r="B9" s="166">
        <v>791303504.14999843</v>
      </c>
      <c r="C9" s="166">
        <v>232309883.70999989</v>
      </c>
      <c r="D9" s="172">
        <f t="shared" ref="D9:D20" si="0">SUM(B9:C9)</f>
        <v>1023613387.8599983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8">
        <f>(B9-'FY2015'!B9)/'FY2015'!B9</f>
        <v>4.2596834556687335E-2</v>
      </c>
      <c r="U9" s="38">
        <f>(C9-'FY2015'!C9)/'FY2015'!C9</f>
        <v>-6.4217932479353947E-3</v>
      </c>
      <c r="V9" s="38">
        <f>(D9-'FY2015'!D9)/'FY2015'!D9</f>
        <v>3.1052429073659942E-2</v>
      </c>
    </row>
    <row r="10" spans="1:22" x14ac:dyDescent="0.2">
      <c r="A10" s="9">
        <v>42309</v>
      </c>
      <c r="B10" s="166">
        <v>681843150.83000052</v>
      </c>
      <c r="C10" s="166">
        <v>229296420.86999965</v>
      </c>
      <c r="D10" s="172">
        <f t="shared" si="0"/>
        <v>911139571.70000017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8">
        <f>(B10-'FY2015'!B10)/'FY2015'!B10</f>
        <v>6.9052734635878929E-3</v>
      </c>
      <c r="U10" s="38">
        <f>(C10-'FY2015'!C10)/'FY2015'!C10</f>
        <v>-5.1879829706940196E-2</v>
      </c>
      <c r="V10" s="38">
        <f>(D10-'FY2015'!D10)/'FY2015'!D10</f>
        <v>-8.5643869688574754E-3</v>
      </c>
    </row>
    <row r="11" spans="1:22" x14ac:dyDescent="0.2">
      <c r="A11" s="9">
        <v>42339</v>
      </c>
      <c r="B11" s="166">
        <v>773462416.80999935</v>
      </c>
      <c r="C11" s="166">
        <v>226339943.29999971</v>
      </c>
      <c r="D11" s="172">
        <f t="shared" si="0"/>
        <v>999802360.10999906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8">
        <f>(B11-'FY2015'!B11)/'FY2015'!B11</f>
        <v>5.8791905380743165E-2</v>
      </c>
      <c r="U11" s="38">
        <f>(C11-'FY2015'!C11)/'FY2015'!C11</f>
        <v>0.10865660933222129</v>
      </c>
      <c r="V11" s="38">
        <f>(D11-'FY2015'!D11)/'FY2015'!D11</f>
        <v>6.9683679077057692E-2</v>
      </c>
    </row>
    <row r="12" spans="1:22" x14ac:dyDescent="0.2">
      <c r="A12" s="9">
        <v>42370</v>
      </c>
      <c r="B12" s="169">
        <v>737069246.13</v>
      </c>
      <c r="C12" s="169">
        <v>231144200.97999999</v>
      </c>
      <c r="D12" s="172">
        <f t="shared" si="0"/>
        <v>968213447.11000001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8">
        <f>(B12-'FY2015'!B12)/'FY2015'!B12</f>
        <v>2.5190550704390687E-2</v>
      </c>
      <c r="U12" s="38">
        <f>(C12-'FY2015'!C12)/'FY2015'!C12</f>
        <v>-4.2953240564755297E-3</v>
      </c>
      <c r="V12" s="38">
        <f>(D12-'FY2015'!D12)/'FY2015'!D12</f>
        <v>1.7993733587278283E-2</v>
      </c>
    </row>
    <row r="13" spans="1:22" x14ac:dyDescent="0.2">
      <c r="A13" s="9">
        <v>42401</v>
      </c>
      <c r="B13" s="169">
        <v>712334136.98000002</v>
      </c>
      <c r="C13" s="169">
        <v>219844289.90000001</v>
      </c>
      <c r="D13" s="172">
        <f t="shared" si="0"/>
        <v>932178426.88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8">
        <f>(B13-'FY2015'!B13)/'FY2015'!B13</f>
        <v>6.5417197805095362E-2</v>
      </c>
      <c r="U13" s="38">
        <f>(C13-'FY2015'!C13)/'FY2015'!C13</f>
        <v>1.2801896666880464E-2</v>
      </c>
      <c r="V13" s="38">
        <f>(D13-'FY2015'!D13)/'FY2015'!D13</f>
        <v>5.2521798469991145E-2</v>
      </c>
    </row>
    <row r="14" spans="1:22" x14ac:dyDescent="0.2">
      <c r="A14" s="9">
        <v>42430</v>
      </c>
      <c r="B14" s="169">
        <v>802621628.05999994</v>
      </c>
      <c r="C14" s="169">
        <v>223499110.90000001</v>
      </c>
      <c r="D14" s="172">
        <f t="shared" si="0"/>
        <v>1026120738.9599999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38">
        <f>(B14-'FY2015'!B14)/'FY2015'!B14</f>
        <v>5.6960299266837836E-2</v>
      </c>
      <c r="U14" s="38">
        <f>(C14-'FY2015'!C14)/'FY2015'!C14</f>
        <v>-4.0823127396414916E-3</v>
      </c>
      <c r="V14" s="38">
        <f>(D14-'FY2015'!D14)/'FY2015'!D14</f>
        <v>4.3035590345780084E-2</v>
      </c>
    </row>
    <row r="15" spans="1:22" x14ac:dyDescent="0.2">
      <c r="A15" s="9">
        <v>42461</v>
      </c>
      <c r="B15" s="170">
        <v>834890940.28999996</v>
      </c>
      <c r="C15" s="169">
        <v>220092148.91999999</v>
      </c>
      <c r="D15" s="172">
        <f t="shared" si="0"/>
        <v>1054983089.2099999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8">
        <f>(B15-'FY2015'!B15)/'FY2015'!B15</f>
        <v>9.4420215871883095E-2</v>
      </c>
      <c r="U15" s="38">
        <f>(C15-'FY2015'!C15)/'FY2015'!C15</f>
        <v>4.6057561463754178E-3</v>
      </c>
      <c r="V15" s="38">
        <f>(D15-'FY2015'!D15)/'FY2015'!D15</f>
        <v>7.4381577630348597E-2</v>
      </c>
    </row>
    <row r="16" spans="1:22" x14ac:dyDescent="0.2">
      <c r="A16" s="9">
        <v>42491</v>
      </c>
      <c r="B16" s="170">
        <v>823494386.89000058</v>
      </c>
      <c r="C16" s="169">
        <v>214426243.56999999</v>
      </c>
      <c r="D16" s="172">
        <f t="shared" si="0"/>
        <v>1037920630.4600005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8">
        <f>(B16-'FY2015'!B16)/'FY2015'!B16</f>
        <v>1.7279514860108376E-2</v>
      </c>
      <c r="U16" s="38">
        <f>(C16-'FY2015'!C16)/'FY2015'!C16</f>
        <v>-9.0080113431260725E-2</v>
      </c>
      <c r="V16" s="38">
        <f>(D16-'FY2015'!D16)/'FY2015'!D16</f>
        <v>-6.9270295735834346E-3</v>
      </c>
    </row>
    <row r="17" spans="1:22" x14ac:dyDescent="0.2">
      <c r="A17" s="9">
        <v>42522</v>
      </c>
      <c r="B17" s="169">
        <v>868720338.45000005</v>
      </c>
      <c r="C17" s="169">
        <v>191898844.49000001</v>
      </c>
      <c r="D17" s="172">
        <f t="shared" si="0"/>
        <v>1060619182.9400001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8">
        <f>(B17-'FY2015'!B17)/'FY2015'!B17</f>
        <v>9.0302351759781033E-2</v>
      </c>
      <c r="U17" s="38">
        <f>(C17-'FY2015'!C17)/'FY2015'!C17</f>
        <v>-6.8709939679879553E-2</v>
      </c>
      <c r="V17" s="38">
        <f>(D17-'FY2015'!D17)/'FY2015'!D17</f>
        <v>5.7629126079089675E-2</v>
      </c>
    </row>
    <row r="18" spans="1:22" x14ac:dyDescent="0.2">
      <c r="A18" s="9">
        <v>42552</v>
      </c>
      <c r="B18" s="169">
        <v>861984681.65999985</v>
      </c>
      <c r="C18" s="169">
        <v>199462348.24999976</v>
      </c>
      <c r="D18" s="172">
        <f t="shared" si="0"/>
        <v>1061447029.9099996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8">
        <f>(B18-'FY2015'!B18)/'FY2015'!B18</f>
        <v>5.6529169566158957E-2</v>
      </c>
      <c r="U18" s="38">
        <f>(C18-'FY2015'!C18)/'FY2015'!C18</f>
        <v>-8.2412127442260563E-2</v>
      </c>
      <c r="V18" s="38">
        <f>(D18-'FY2015'!D18)/'FY2015'!D18</f>
        <v>2.7298226732501582E-2</v>
      </c>
    </row>
    <row r="19" spans="1:22" x14ac:dyDescent="0.2">
      <c r="A19" s="9">
        <v>42583</v>
      </c>
      <c r="B19" s="169">
        <v>840139308.94000006</v>
      </c>
      <c r="C19" s="169">
        <v>192236743.19</v>
      </c>
      <c r="D19" s="172">
        <f t="shared" si="0"/>
        <v>1032376052.1300001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8">
        <f>(B19-'FY2015'!B19)/'FY2015'!B19</f>
        <v>1.6213602075633184E-2</v>
      </c>
      <c r="U19" s="38">
        <f>(C19-'FY2015'!C19)/'FY2015'!C19</f>
        <v>-0.15684440594678103</v>
      </c>
      <c r="V19" s="38">
        <f>(D19-'FY2015'!D19)/'FY2015'!D19</f>
        <v>-2.119559346106718E-2</v>
      </c>
    </row>
    <row r="20" spans="1:22" x14ac:dyDescent="0.2">
      <c r="A20" s="9">
        <v>42614</v>
      </c>
      <c r="B20" s="169">
        <v>842956569</v>
      </c>
      <c r="C20" s="169">
        <v>194860792</v>
      </c>
      <c r="D20" s="172">
        <f t="shared" si="0"/>
        <v>1037817361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8">
        <f>(B20-'FY2015'!B20)/'FY2015'!B20</f>
        <v>8.880411925901989E-2</v>
      </c>
      <c r="U20" s="38">
        <f>(C20-'FY2015'!C20)/'FY2015'!C20</f>
        <v>-9.0781950253514362E-2</v>
      </c>
      <c r="V20" s="38">
        <f>(D20-'FY2015'!D20)/'FY2015'!D20</f>
        <v>4.9868850309609317E-2</v>
      </c>
    </row>
    <row r="21" spans="1:22" x14ac:dyDescent="0.2">
      <c r="A21" s="108" t="s">
        <v>153</v>
      </c>
      <c r="B21" s="171">
        <f>SUM(B9:B20)</f>
        <v>9570820308.1899986</v>
      </c>
      <c r="C21" s="171">
        <f>SUM(C9:C20)</f>
        <v>2575410970.0799994</v>
      </c>
      <c r="D21" s="171">
        <f>SUM(D9:D20)</f>
        <v>12146231278.27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39">
        <f>AVERAGE(T9:T20)</f>
        <v>5.1617586214160564E-2</v>
      </c>
      <c r="U21" s="39">
        <f>AVERAGE(U9:U20)</f>
        <v>-3.5786961196600978E-2</v>
      </c>
      <c r="V21" s="39">
        <f>AVERAGE(V9:V20)</f>
        <v>3.2231500108484017E-2</v>
      </c>
    </row>
    <row r="22" spans="1:22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">
      <c r="A23" s="5"/>
      <c r="B23" s="202" t="s">
        <v>6</v>
      </c>
      <c r="C23" s="202"/>
      <c r="D23" s="20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203" t="s">
        <v>6</v>
      </c>
      <c r="U23" s="203"/>
      <c r="V23" s="203"/>
    </row>
    <row r="24" spans="1:22" ht="24" x14ac:dyDescent="0.2">
      <c r="A24" s="163" t="s">
        <v>1</v>
      </c>
      <c r="B24" s="163" t="s">
        <v>2</v>
      </c>
      <c r="C24" s="163" t="s">
        <v>3</v>
      </c>
      <c r="D24" s="163" t="s">
        <v>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8" t="s">
        <v>9</v>
      </c>
      <c r="U24" s="8" t="s">
        <v>10</v>
      </c>
      <c r="V24" s="8" t="s">
        <v>11</v>
      </c>
    </row>
    <row r="25" spans="1:22" x14ac:dyDescent="0.2">
      <c r="A25" s="9">
        <v>42278</v>
      </c>
      <c r="B25" s="167">
        <v>7645223</v>
      </c>
      <c r="C25" s="167">
        <v>3362402</v>
      </c>
      <c r="D25" s="33">
        <f t="shared" ref="D25:D36" si="1">SUM(B25:C25)</f>
        <v>11007625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38">
        <f>(B25-'FY2015'!B25)/'FY2015'!B25</f>
        <v>5.6917457776376891E-2</v>
      </c>
      <c r="U25" s="38">
        <f>(C25-'FY2015'!C25)/'FY2015'!C25</f>
        <v>1.5030741611375438E-2</v>
      </c>
      <c r="V25" s="38">
        <f>(D25-'FY2015'!D25)/'FY2015'!D25</f>
        <v>4.3760544753848357E-2</v>
      </c>
    </row>
    <row r="26" spans="1:22" x14ac:dyDescent="0.2">
      <c r="A26" s="9">
        <v>42309</v>
      </c>
      <c r="B26" s="168">
        <v>6680428</v>
      </c>
      <c r="C26" s="168">
        <v>3250444</v>
      </c>
      <c r="D26" s="33">
        <f t="shared" si="1"/>
        <v>9930872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8">
        <f>(B26-'FY2015'!B26)/'FY2015'!B26</f>
        <v>2.2461801713279061E-2</v>
      </c>
      <c r="U26" s="38">
        <f>(C26-'FY2015'!C26)/'FY2015'!C26</f>
        <v>-9.6755195675097289E-3</v>
      </c>
      <c r="V26" s="38">
        <f>(D26-'FY2015'!D26)/'FY2015'!D26</f>
        <v>1.1715822263760394E-2</v>
      </c>
    </row>
    <row r="27" spans="1:22" x14ac:dyDescent="0.2">
      <c r="A27" s="9">
        <v>42339</v>
      </c>
      <c r="B27" s="168">
        <v>7215361</v>
      </c>
      <c r="C27" s="168">
        <v>3206526</v>
      </c>
      <c r="D27" s="33">
        <f t="shared" si="1"/>
        <v>10421887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38">
        <f>(B27-'FY2015'!B27)/'FY2015'!B27</f>
        <v>5.7751981224998757E-2</v>
      </c>
      <c r="U27" s="38">
        <f>(C27-'FY2015'!C27)/'FY2015'!C27</f>
        <v>0.17219609239455072</v>
      </c>
      <c r="V27" s="38">
        <f>(D27-'FY2015'!D27)/'FY2015'!D27</f>
        <v>9.0509503241480993E-2</v>
      </c>
    </row>
    <row r="28" spans="1:22" x14ac:dyDescent="0.2">
      <c r="A28" s="9">
        <v>42370</v>
      </c>
      <c r="B28" s="13">
        <v>7213931</v>
      </c>
      <c r="C28" s="13">
        <v>3278345</v>
      </c>
      <c r="D28" s="33">
        <f t="shared" si="1"/>
        <v>10492276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8">
        <f>(B28-'FY2015'!B28)/'FY2015'!B28</f>
        <v>2.1576224773842755E-2</v>
      </c>
      <c r="U28" s="38">
        <f>(C28-'FY2015'!C28)/'FY2015'!C28</f>
        <v>2.183657509443513E-2</v>
      </c>
      <c r="V28" s="38">
        <f>(D28-'FY2015'!D28)/'FY2015'!D28</f>
        <v>2.1657557808016002E-2</v>
      </c>
    </row>
    <row r="29" spans="1:22" x14ac:dyDescent="0.2">
      <c r="A29" s="9">
        <v>42401</v>
      </c>
      <c r="B29" s="13">
        <v>7285602</v>
      </c>
      <c r="C29" s="13">
        <v>3176558</v>
      </c>
      <c r="D29" s="33">
        <f t="shared" si="1"/>
        <v>10462160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8">
        <f>(B29-'FY2015'!B29)/'FY2015'!B29</f>
        <v>8.7146911623826026E-2</v>
      </c>
      <c r="U29" s="38">
        <f>(C29-'FY2015'!C29)/'FY2015'!C29</f>
        <v>4.6955414323433281E-2</v>
      </c>
      <c r="V29" s="38">
        <f>(D29-'FY2015'!D29)/'FY2015'!D29</f>
        <v>7.4621358918147501E-2</v>
      </c>
    </row>
    <row r="30" spans="1:22" x14ac:dyDescent="0.2">
      <c r="A30" s="9">
        <v>42430</v>
      </c>
      <c r="B30" s="13">
        <v>8284085</v>
      </c>
      <c r="C30" s="13">
        <v>3362760</v>
      </c>
      <c r="D30" s="33">
        <f t="shared" si="1"/>
        <v>11646845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38">
        <f>(B30-'FY2015'!B30)/'FY2015'!B30</f>
        <v>6.497735017996055E-2</v>
      </c>
      <c r="U30" s="38">
        <f>(C30-'FY2015'!C30)/'FY2015'!C30</f>
        <v>8.3278247457351934E-2</v>
      </c>
      <c r="V30" s="38">
        <f>(D30-'FY2015'!D30)/'FY2015'!D30</f>
        <v>7.0197510900823892E-2</v>
      </c>
    </row>
    <row r="31" spans="1:22" x14ac:dyDescent="0.2">
      <c r="A31" s="9">
        <v>42461</v>
      </c>
      <c r="B31" s="13">
        <v>8069298</v>
      </c>
      <c r="C31" s="13">
        <v>3271535</v>
      </c>
      <c r="D31" s="33">
        <f t="shared" si="1"/>
        <v>11340833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8">
        <f>(B31-'FY2015'!B31)/'FY2015'!B31</f>
        <v>5.1308034776699422E-2</v>
      </c>
      <c r="U31" s="38">
        <f>(C31-'FY2015'!C31)/'FY2015'!C31</f>
        <v>2.7039915213213278E-2</v>
      </c>
      <c r="V31" s="38">
        <f>(D31-'FY2015'!D31)/'FY2015'!D31</f>
        <v>4.4190409511710188E-2</v>
      </c>
    </row>
    <row r="32" spans="1:22" x14ac:dyDescent="0.2">
      <c r="A32" s="9">
        <v>42491</v>
      </c>
      <c r="B32" s="13">
        <v>8379024</v>
      </c>
      <c r="C32" s="13">
        <v>3205369</v>
      </c>
      <c r="D32" s="33">
        <f t="shared" si="1"/>
        <v>11584393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38">
        <f>(B32-'FY2015'!B32)/'FY2015'!B32</f>
        <v>4.4160940143418127E-2</v>
      </c>
      <c r="U32" s="38">
        <f>(C32-'FY2015'!C32)/'FY2015'!C32</f>
        <v>-4.738116445063402E-2</v>
      </c>
      <c r="V32" s="38">
        <f>(D32-'FY2015'!D32)/'FY2015'!D32</f>
        <v>1.7116549577262104E-2</v>
      </c>
    </row>
    <row r="33" spans="1:22" x14ac:dyDescent="0.2">
      <c r="A33" s="9">
        <v>42522</v>
      </c>
      <c r="B33" s="13">
        <v>8707505</v>
      </c>
      <c r="C33" s="13">
        <v>2923838</v>
      </c>
      <c r="D33" s="33">
        <f t="shared" si="1"/>
        <v>11631343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38">
        <f>(B33-'FY2015'!B33)/'FY2015'!B33</f>
        <v>8.7821738007701391E-2</v>
      </c>
      <c r="U33" s="38">
        <f>(C33-'FY2015'!C33)/'FY2015'!C33</f>
        <v>-3.7603037972350289E-2</v>
      </c>
      <c r="V33" s="38">
        <f>(D33-'FY2015'!D33)/'FY2015'!D33</f>
        <v>5.3314469438933469E-2</v>
      </c>
    </row>
    <row r="34" spans="1:22" x14ac:dyDescent="0.2">
      <c r="A34" s="9">
        <v>42552</v>
      </c>
      <c r="B34" s="13">
        <v>8703765</v>
      </c>
      <c r="C34" s="13">
        <v>2920803</v>
      </c>
      <c r="D34" s="33">
        <f t="shared" si="1"/>
        <v>11624568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38">
        <f>(B34-'FY2015'!B34)/'FY2015'!B34</f>
        <v>4.1536580771882728E-2</v>
      </c>
      <c r="U34" s="38">
        <f>(C34-'FY2015'!C34)/'FY2015'!C34</f>
        <v>-7.4675639422933746E-2</v>
      </c>
      <c r="V34" s="38">
        <f>(D34-'FY2015'!D34)/'FY2015'!D34</f>
        <v>9.6751756422380764E-3</v>
      </c>
    </row>
    <row r="35" spans="1:22" x14ac:dyDescent="0.2">
      <c r="A35" s="9">
        <v>42583</v>
      </c>
      <c r="B35" s="13">
        <v>8563372</v>
      </c>
      <c r="C35" s="13">
        <v>2893258</v>
      </c>
      <c r="D35" s="33">
        <f t="shared" si="1"/>
        <v>11456630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38">
        <f>(B35-'FY2015'!B35)/'FY2015'!B35</f>
        <v>6.2771669522775062E-2</v>
      </c>
      <c r="U35" s="38">
        <f>(C35-'FY2015'!C35)/'FY2015'!C35</f>
        <v>-0.11725596958481169</v>
      </c>
      <c r="V35" s="38">
        <f>(D35-'FY2015'!D35)/'FY2015'!D35</f>
        <v>1.0716481474407456E-2</v>
      </c>
    </row>
    <row r="36" spans="1:22" x14ac:dyDescent="0.2">
      <c r="A36" s="9">
        <v>42614</v>
      </c>
      <c r="B36" s="13">
        <v>8108525</v>
      </c>
      <c r="C36" s="13">
        <v>2887176</v>
      </c>
      <c r="D36" s="33">
        <f t="shared" si="1"/>
        <v>10995701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8">
        <f>(B36-'FY2015'!B36)/'FY2015'!B36</f>
        <v>7.1897198653526243E-2</v>
      </c>
      <c r="U36" s="38">
        <f>(C36-'FY2015'!C36)/'FY2015'!C36</f>
        <v>-7.4451019740849264E-2</v>
      </c>
      <c r="V36" s="38">
        <f>(D36-'FY2015'!D36)/'FY2015'!D36</f>
        <v>2.9168009788032048E-2</v>
      </c>
    </row>
    <row r="37" spans="1:22" x14ac:dyDescent="0.2">
      <c r="A37" s="108" t="s">
        <v>153</v>
      </c>
      <c r="B37" s="40">
        <f>SUM(B25:B36)</f>
        <v>94856119</v>
      </c>
      <c r="C37" s="40">
        <f>SUM(C25:C36)</f>
        <v>37739014</v>
      </c>
      <c r="D37" s="40">
        <f>SUM(D25:D36)</f>
        <v>132595133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39">
        <f>AVERAGE(T25:T36)</f>
        <v>5.5860657430690581E-2</v>
      </c>
      <c r="U37" s="39">
        <f>AVERAGE(U25:U36)</f>
        <v>4.4121961293925108E-4</v>
      </c>
      <c r="V37" s="39">
        <f>AVERAGE(V25:V36)</f>
        <v>3.9720282776555038E-2</v>
      </c>
    </row>
    <row r="38" spans="1:22" x14ac:dyDescent="0.2">
      <c r="A38" s="17"/>
      <c r="B38" s="85"/>
      <c r="C38" s="85"/>
      <c r="D38" s="8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51"/>
      <c r="U38" s="51"/>
      <c r="V38" s="51"/>
    </row>
    <row r="39" spans="1:22" x14ac:dyDescent="0.2">
      <c r="A39" s="17"/>
      <c r="B39" s="17"/>
      <c r="C39" s="17"/>
      <c r="D39" s="1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8"/>
      <c r="U39" s="18"/>
      <c r="V39" s="18"/>
    </row>
    <row r="40" spans="1:22" x14ac:dyDescent="0.2">
      <c r="A40" s="5"/>
      <c r="B40" s="202" t="s">
        <v>29</v>
      </c>
      <c r="C40" s="202"/>
      <c r="D40" s="20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203" t="s">
        <v>29</v>
      </c>
      <c r="U40" s="203"/>
      <c r="V40" s="203"/>
    </row>
    <row r="41" spans="1:22" ht="24" x14ac:dyDescent="0.2">
      <c r="A41" s="163" t="s">
        <v>1</v>
      </c>
      <c r="B41" s="163" t="s">
        <v>2</v>
      </c>
      <c r="C41" s="163" t="s">
        <v>3</v>
      </c>
      <c r="D41" s="163" t="s">
        <v>4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8" t="s">
        <v>9</v>
      </c>
      <c r="U41" s="8" t="s">
        <v>10</v>
      </c>
      <c r="V41" s="8" t="s">
        <v>11</v>
      </c>
    </row>
    <row r="42" spans="1:22" x14ac:dyDescent="0.2">
      <c r="A42" s="9">
        <v>42278</v>
      </c>
      <c r="B42" s="86">
        <f>IFERROR(B9/B25,"")</f>
        <v>103.502998427907</v>
      </c>
      <c r="C42" s="86">
        <f>IFERROR(C9/C25,"")</f>
        <v>69.090454892068195</v>
      </c>
      <c r="D42" s="86">
        <f>IFERROR(D9/D25,"")</f>
        <v>92.991302652479376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38">
        <f>(B42-'FY2015'!B42)/'FY2015'!B42</f>
        <v>-1.3549424426973055E-2</v>
      </c>
      <c r="U42" s="38">
        <f>(C42-'FY2015'!C42)/'FY2015'!C42</f>
        <v>-2.1134862206493084E-2</v>
      </c>
      <c r="V42" s="38">
        <f>(D42-'FY2015'!D42)/'FY2015'!D42</f>
        <v>-1.2175317168350502E-2</v>
      </c>
    </row>
    <row r="43" spans="1:22" x14ac:dyDescent="0.2">
      <c r="A43" s="9">
        <v>42309</v>
      </c>
      <c r="B43" s="86">
        <f t="shared" ref="B43:B53" si="2">IFERROR(B10/B26,"")</f>
        <v>102.06578842403519</v>
      </c>
      <c r="C43" s="86">
        <f t="shared" ref="C43:D53" si="3">IFERROR(C10/C26,"")</f>
        <v>70.543107609298801</v>
      </c>
      <c r="D43" s="86">
        <f t="shared" si="3"/>
        <v>91.748194086078257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38">
        <f>(B43-'FY2015'!B43)/'FY2015'!B43</f>
        <v>-1.5214776946800367E-2</v>
      </c>
      <c r="U43" s="38">
        <f>(C43-'FY2015'!C43)/'FY2015'!C43</f>
        <v>-4.2616648354486003E-2</v>
      </c>
      <c r="V43" s="38">
        <f>(D43-'FY2015'!D43)/'FY2015'!D43</f>
        <v>-2.0045361341923088E-2</v>
      </c>
    </row>
    <row r="44" spans="1:22" x14ac:dyDescent="0.2">
      <c r="A44" s="9">
        <v>42339</v>
      </c>
      <c r="B44" s="86">
        <f t="shared" si="2"/>
        <v>107.19663462576568</v>
      </c>
      <c r="C44" s="86">
        <f t="shared" si="3"/>
        <v>70.587278350463933</v>
      </c>
      <c r="D44" s="86">
        <f t="shared" si="3"/>
        <v>95.932949581011485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38">
        <f>(B44-'FY2015'!B44)/'FY2015'!B44</f>
        <v>9.8314555226824757E-4</v>
      </c>
      <c r="U44" s="38">
        <f>(C44-'FY2015'!C44)/'FY2015'!C44</f>
        <v>-5.4205506633733559E-2</v>
      </c>
      <c r="V44" s="38">
        <f>(D44-'FY2015'!D44)/'FY2015'!D44</f>
        <v>-1.9097333954926268E-2</v>
      </c>
    </row>
    <row r="45" spans="1:22" x14ac:dyDescent="0.2">
      <c r="A45" s="9">
        <v>42370</v>
      </c>
      <c r="B45" s="86">
        <f t="shared" si="2"/>
        <v>102.17303799135311</v>
      </c>
      <c r="C45" s="86">
        <f t="shared" si="3"/>
        <v>70.506368603670452</v>
      </c>
      <c r="D45" s="86">
        <f t="shared" si="3"/>
        <v>92.278686446105695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38">
        <f>(B45-'FY2015'!B45)/'FY2015'!B45</f>
        <v>3.5379894744007666E-3</v>
      </c>
      <c r="U45" s="38">
        <f>(C45-'FY2015'!C45)/'FY2015'!C45</f>
        <v>-2.5573462320523738E-2</v>
      </c>
      <c r="V45" s="38">
        <f>(D45-'FY2015'!D45)/'FY2015'!D45</f>
        <v>-3.586156822055321E-3</v>
      </c>
    </row>
    <row r="46" spans="1:22" x14ac:dyDescent="0.2">
      <c r="A46" s="9">
        <v>42401</v>
      </c>
      <c r="B46" s="86">
        <f t="shared" si="2"/>
        <v>97.772858986807137</v>
      </c>
      <c r="C46" s="86">
        <f t="shared" si="3"/>
        <v>69.208334902117329</v>
      </c>
      <c r="D46" s="86">
        <f t="shared" si="3"/>
        <v>89.099997216635956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38">
        <f>(B46-'FY2015'!B46)/'FY2015'!B46</f>
        <v>-1.9987835670041879E-2</v>
      </c>
      <c r="U46" s="38">
        <f>(C46-'FY2015'!C46)/'FY2015'!C46</f>
        <v>-3.2621749875207037E-2</v>
      </c>
      <c r="V46" s="38">
        <f>(D46-'FY2015'!D46)/'FY2015'!D46</f>
        <v>-2.0564974132288399E-2</v>
      </c>
    </row>
    <row r="47" spans="1:22" x14ac:dyDescent="0.2">
      <c r="A47" s="9">
        <v>42430</v>
      </c>
      <c r="B47" s="86">
        <f t="shared" si="2"/>
        <v>96.887179218948134</v>
      </c>
      <c r="C47" s="86">
        <f t="shared" si="3"/>
        <v>66.462997924324071</v>
      </c>
      <c r="D47" s="86">
        <f t="shared" si="3"/>
        <v>88.102893011798471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38">
        <f>(B47-'FY2015'!B47)/'FY2015'!B47</f>
        <v>-7.5279074355600641E-3</v>
      </c>
      <c r="U47" s="38">
        <f>(C47-'FY2015'!C47)/'FY2015'!C47</f>
        <v>-8.0644617762836351E-2</v>
      </c>
      <c r="V47" s="38">
        <f>(D47-'FY2015'!D47)/'FY2015'!D47</f>
        <v>-2.5380287543540068E-2</v>
      </c>
    </row>
    <row r="48" spans="1:22" x14ac:dyDescent="0.2">
      <c r="A48" s="9">
        <v>42461</v>
      </c>
      <c r="B48" s="86">
        <f t="shared" si="2"/>
        <v>103.46512674212799</v>
      </c>
      <c r="C48" s="86">
        <f t="shared" si="3"/>
        <v>67.274887451914765</v>
      </c>
      <c r="D48" s="86">
        <f t="shared" si="3"/>
        <v>93.025185117354241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38">
        <f>(B48-'FY2015'!B48)/'FY2015'!B48</f>
        <v>4.1008134313689305E-2</v>
      </c>
      <c r="U48" s="38">
        <f>(C48-'FY2015'!C48)/'FY2015'!C48</f>
        <v>-2.1843512345068601E-2</v>
      </c>
      <c r="V48" s="38">
        <f>(D48-'FY2015'!D48)/'FY2015'!D48</f>
        <v>2.8913470037286133E-2</v>
      </c>
    </row>
    <row r="49" spans="1:22" x14ac:dyDescent="0.2">
      <c r="A49" s="9">
        <v>42491</v>
      </c>
      <c r="B49" s="86">
        <f t="shared" si="2"/>
        <v>98.280466423058414</v>
      </c>
      <c r="C49" s="86">
        <f t="shared" si="3"/>
        <v>66.89596223398928</v>
      </c>
      <c r="D49" s="86">
        <f t="shared" si="3"/>
        <v>89.596462279896798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38">
        <f>(B49-'FY2015'!B49)/'FY2015'!B49</f>
        <v>-2.5744522946450642E-2</v>
      </c>
      <c r="U49" s="38">
        <f>(C49-'FY2015'!C49)/'FY2015'!C49</f>
        <v>-4.4822700735286859E-2</v>
      </c>
      <c r="V49" s="38">
        <f>(D49-'FY2015'!D49)/'FY2015'!D49</f>
        <v>-2.3638961691104694E-2</v>
      </c>
    </row>
    <row r="50" spans="1:22" x14ac:dyDescent="0.2">
      <c r="A50" s="9">
        <v>42522</v>
      </c>
      <c r="B50" s="86">
        <f t="shared" si="2"/>
        <v>99.766849223744344</v>
      </c>
      <c r="C50" s="86">
        <f t="shared" si="3"/>
        <v>65.632516059371284</v>
      </c>
      <c r="D50" s="86">
        <f t="shared" si="3"/>
        <v>91.18630436227356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38">
        <f>(B50-'FY2015'!B50)/'FY2015'!B50</f>
        <v>2.2803494960697253E-3</v>
      </c>
      <c r="U50" s="38">
        <f>(C50-'FY2015'!C50)/'FY2015'!C50</f>
        <v>-3.2322319100000926E-2</v>
      </c>
      <c r="V50" s="38">
        <f>(D50-'FY2015'!D50)/'FY2015'!D50</f>
        <v>4.0962663718599711E-3</v>
      </c>
    </row>
    <row r="51" spans="1:22" x14ac:dyDescent="0.2">
      <c r="A51" s="9">
        <v>42552</v>
      </c>
      <c r="B51" s="86">
        <f t="shared" si="2"/>
        <v>99.035840427676973</v>
      </c>
      <c r="C51" s="86">
        <f t="shared" si="3"/>
        <v>68.290243556309605</v>
      </c>
      <c r="D51" s="86">
        <f t="shared" si="3"/>
        <v>91.310664612224699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38">
        <f>(B51-'FY2015'!B51)/'FY2015'!B51</f>
        <v>1.4394682885900369E-2</v>
      </c>
      <c r="U51" s="38">
        <f>(C51-'FY2015'!C51)/'FY2015'!C51</f>
        <v>-8.3608390191976158E-3</v>
      </c>
      <c r="V51" s="38">
        <f>(D51-'FY2015'!D51)/'FY2015'!D51</f>
        <v>1.7454178844254317E-2</v>
      </c>
    </row>
    <row r="52" spans="1:22" x14ac:dyDescent="0.2">
      <c r="A52" s="9">
        <v>42583</v>
      </c>
      <c r="B52" s="86">
        <f t="shared" si="2"/>
        <v>98.108468129143532</v>
      </c>
      <c r="C52" s="86">
        <f t="shared" si="3"/>
        <v>66.443000655316595</v>
      </c>
      <c r="D52" s="86">
        <f t="shared" si="3"/>
        <v>90.111669149653963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38">
        <f>(B52-'FY2015'!B52)/'FY2015'!B52</f>
        <v>-4.380815633526268E-2</v>
      </c>
      <c r="U52" s="38">
        <f>(C52-'FY2015'!C52)/'FY2015'!C52</f>
        <v>-4.4847016799818479E-2</v>
      </c>
      <c r="V52" s="38">
        <f>(D52-'FY2015'!D52)/'FY2015'!D52</f>
        <v>-3.1573715795078491E-2</v>
      </c>
    </row>
    <row r="53" spans="1:22" x14ac:dyDescent="0.2">
      <c r="A53" s="9">
        <v>42614</v>
      </c>
      <c r="B53" s="86">
        <f t="shared" si="2"/>
        <v>103.95929826941398</v>
      </c>
      <c r="C53" s="86">
        <f t="shared" si="3"/>
        <v>67.491830078942186</v>
      </c>
      <c r="D53" s="86">
        <f t="shared" si="3"/>
        <v>94.38391977009924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38"/>
      <c r="U53" s="38"/>
      <c r="V53" s="38"/>
    </row>
    <row r="54" spans="1:22" x14ac:dyDescent="0.2">
      <c r="A54" s="108" t="s">
        <v>153</v>
      </c>
      <c r="B54" s="87">
        <f>B21/B37</f>
        <v>100.89829110750355</v>
      </c>
      <c r="C54" s="87">
        <f>C21/C37</f>
        <v>68.242667126385427</v>
      </c>
      <c r="D54" s="87">
        <f>D21/D37</f>
        <v>91.603899807317973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39">
        <f>AVERAGE(T42:T53)</f>
        <v>-5.7843929126145692E-3</v>
      </c>
      <c r="U54" s="39">
        <f>AVERAGE(U42:U53)</f>
        <v>-3.7181203195695664E-2</v>
      </c>
      <c r="V54" s="39">
        <f>AVERAGE(V42:V53)</f>
        <v>-9.5998357450787653E-3</v>
      </c>
    </row>
    <row r="55" spans="1:22" x14ac:dyDescent="0.2">
      <c r="A55" s="17"/>
      <c r="B55" s="84"/>
      <c r="C55" s="84"/>
      <c r="D55" s="8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18"/>
      <c r="U55" s="18"/>
      <c r="V55" s="18"/>
    </row>
    <row r="56" spans="1:2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">
      <c r="A57" s="5"/>
      <c r="B57" s="202" t="s">
        <v>7</v>
      </c>
      <c r="C57" s="202"/>
      <c r="D57" s="20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203" t="s">
        <v>7</v>
      </c>
      <c r="U57" s="203"/>
      <c r="V57" s="203"/>
    </row>
    <row r="58" spans="1:22" ht="24" x14ac:dyDescent="0.2">
      <c r="A58" s="163" t="s">
        <v>1</v>
      </c>
      <c r="B58" s="163" t="s">
        <v>2</v>
      </c>
      <c r="C58" s="163" t="s">
        <v>3</v>
      </c>
      <c r="D58" s="163" t="s">
        <v>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8" t="s">
        <v>9</v>
      </c>
      <c r="U58" s="8" t="s">
        <v>10</v>
      </c>
      <c r="V58" s="8" t="s">
        <v>11</v>
      </c>
    </row>
    <row r="59" spans="1:22" x14ac:dyDescent="0.2">
      <c r="A59" s="9">
        <v>42278</v>
      </c>
      <c r="B59" s="43">
        <f>9324867.65+3026937.04+362095.39+43359.18+41711.02+57254.49+50755.32+191999.41</f>
        <v>13098979.500000002</v>
      </c>
      <c r="C59" s="41">
        <f>42441.74+17.96+50755.67+25.3+5912.49+35523.48+320997.63+2302.28+946.76+2910.07+2.49+10853.76+266.72+2321.7+18.3+2339.41+10118.7+35.3+3189.21+20583.51+997.39+480.43+0.24+0.23+3090.08-167.49+291363.55+9668.96+85117.08</f>
        <v>902112.95</v>
      </c>
      <c r="D59" s="41">
        <f t="shared" ref="D59:D64" si="4">SUM(B59:C59)</f>
        <v>14001092.450000001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38">
        <f>(B59-'FY2015'!B59)/'FY2015'!B59</f>
        <v>3.9188200615222615E-2</v>
      </c>
      <c r="U59" s="38">
        <f>(C59-'FY2015'!C59)/'FY2015'!C59</f>
        <v>3.7850667777311657E-2</v>
      </c>
      <c r="V59" s="38">
        <f>(D59-'FY2015'!D59)/'FY2015'!D59</f>
        <v>3.9101917319703014E-2</v>
      </c>
    </row>
    <row r="60" spans="1:22" x14ac:dyDescent="0.2">
      <c r="A60" s="9">
        <v>42309</v>
      </c>
      <c r="B60" s="43">
        <f>8163566.64+305421.98+2516117.59+46756.29+34947.94+66238.13+49509.55+63832.54+45341.78+194056.93</f>
        <v>11485789.369999997</v>
      </c>
      <c r="C60" s="41">
        <f>19284.51+14.98+47389.53+22.29+5741.6+35255.92+299020.34+1855.52+755.96+3307.53+10.11+17851.67+238.28+3271.37+24.6+2257.13+9316.87+33.71+1803.65-168.96+19912.84+918.63+356.13+2775.65-145.83+266602.79+9063.62+91032.8</f>
        <v>837803.24000000011</v>
      </c>
      <c r="D60" s="41">
        <f t="shared" si="4"/>
        <v>12323592.609999998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38">
        <f>(B60-'FY2015'!B60)/'FY2015'!B60</f>
        <v>3.5773010310561765E-2</v>
      </c>
      <c r="U60" s="38">
        <f>(C60-'FY2015'!C60)/'FY2015'!C60</f>
        <v>-9.0002126984741241E-4</v>
      </c>
      <c r="V60" s="38">
        <f>(D60-'FY2015'!D60)/'FY2015'!D60</f>
        <v>3.3194761886879379E-2</v>
      </c>
    </row>
    <row r="61" spans="1:22" x14ac:dyDescent="0.2">
      <c r="A61" s="9">
        <v>42339</v>
      </c>
      <c r="B61" s="43">
        <f>9285628.44+2928944.2+357602.19+56671.29+38630.88+90284.2+54727.07+75445.86+55601.29+232923.88</f>
        <v>13176459.299999999</v>
      </c>
      <c r="C61" s="41">
        <f>8998.4+16.97+50935.45+25.63+6173.29+39857.6+310989.22+2318.17+869.01+3502.58+12+23298.44+261.06+4665.69+32.4+2382.14+10132.96+41.17+768.13+21127.65+960.47+348.84+0.24+2683.88-187.95+278545.52+9557.84+101311.08</f>
        <v>879627.87999999989</v>
      </c>
      <c r="D61" s="41">
        <f t="shared" si="4"/>
        <v>14056087.18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38">
        <f>(B61-'FY2015'!B61)/'FY2015'!B61</f>
        <v>0.11137899149531071</v>
      </c>
      <c r="U61" s="38">
        <f>(C61-'FY2015'!C61)/'FY2015'!C61</f>
        <v>0.19916101196874961</v>
      </c>
      <c r="V61" s="38">
        <f>(D61-'FY2015'!D61)/'FY2015'!D61</f>
        <v>0.11649367640681449</v>
      </c>
    </row>
    <row r="62" spans="1:22" x14ac:dyDescent="0.2">
      <c r="A62" s="9">
        <v>42370</v>
      </c>
      <c r="B62" s="43">
        <f>8722793.98+339494.36+2784644.36+35849.96+41158.84+50787.47+58308.37+49813.85+51118.99+179366.83</f>
        <v>12313337.01</v>
      </c>
      <c r="C62" s="43">
        <f>8294.09+19.03+46544.82+32.65+5595.51+36652.88+307429.96+2109.04+857.19+3001.2+15.28+22185.08+245.94+4380.16+121.5+1971.2+9557.59+31.2+730.66+19648.66+981.64+345.03+2497.71-189.28+276193.03+8942.54+96303.78</f>
        <v>854498.0900000002</v>
      </c>
      <c r="D62" s="41">
        <f t="shared" si="4"/>
        <v>13167835.1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38">
        <f>(B62-'FY2015'!B62)/'FY2015'!B62</f>
        <v>6.8685971466780335E-2</v>
      </c>
      <c r="U62" s="38">
        <f>(C62-'FY2015'!C62)/'FY2015'!C62</f>
        <v>1.4159839330137099E-2</v>
      </c>
      <c r="V62" s="38">
        <f>(D62-'FY2015'!D62)/'FY2015'!D62</f>
        <v>6.4970341017389605E-2</v>
      </c>
    </row>
    <row r="63" spans="1:22" x14ac:dyDescent="0.2">
      <c r="A63" s="9">
        <v>42401</v>
      </c>
      <c r="B63" s="43">
        <f>8441580.64+331846.08+2616159.35+32722.56+38909.4+46427.9+55121.64+43455.06+47556.24+161742.48</f>
        <v>11815521.350000003</v>
      </c>
      <c r="C63" s="43">
        <f>7916.58+16.54+44996.71+28.43+5421.95+39405.04+300869.44+778.86+2162.96+13.06+22098.65+239.24+4225.97+29.2+1755.65+9362.9+31.18+670.39+26.69+19452.25+956.35+363.03+2199.72-130.59+263804.57+8468.22+94964.4</f>
        <v>830127.39</v>
      </c>
      <c r="D63" s="41">
        <f t="shared" si="4"/>
        <v>12645648.740000004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38">
        <f>(B63-'FY2015'!B63)/'FY2015'!B63</f>
        <v>0.11391689666833629</v>
      </c>
      <c r="U63" s="38">
        <f>(C63-'FY2015'!C63)/'FY2015'!C63</f>
        <v>6.85294816362646E-2</v>
      </c>
      <c r="V63" s="38">
        <f>(D63-'FY2015'!D63)/'FY2015'!D63</f>
        <v>0.1108195054248239</v>
      </c>
    </row>
    <row r="64" spans="1:22" x14ac:dyDescent="0.2">
      <c r="A64" s="9">
        <v>42430</v>
      </c>
      <c r="B64" s="43">
        <f>9494496.98+371787.84+2991689.3+186148.72+104750.83+82121.82+116339.32</f>
        <v>13347334.810000002</v>
      </c>
      <c r="C64" s="43">
        <f>8604.16+0.91+19.15+48283.68+32.44+5777.2+44861.76+320134.54+2254.99+906.33+2366.06+30.53+24449.43+269.69+4567.93+32.13+1972.03+10256.93+36.11+769.06+47.51+21129.4+997.37+368.73+2307.78-93.97+289280.56+9081.97+103786.49</f>
        <v>902530.9</v>
      </c>
      <c r="D64" s="41">
        <f t="shared" si="4"/>
        <v>14249865.710000003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38">
        <f>(B64-'FY2015'!B64)/'FY2015'!B64</f>
        <v>8.966644047178271E-2</v>
      </c>
      <c r="U64" s="38">
        <f>(C64-'FY2015'!C64)/'FY2015'!C64</f>
        <v>8.9235229293242832E-2</v>
      </c>
      <c r="V64" s="38">
        <f>(D64-'FY2015'!D64)/'FY2015'!D64</f>
        <v>8.9639119111010204E-2</v>
      </c>
    </row>
    <row r="65" spans="1:22" x14ac:dyDescent="0.2">
      <c r="A65" s="9">
        <v>42461</v>
      </c>
      <c r="B65" s="43">
        <f>10012590.1+3027088.48+407802.56+88148.97+124877.84+113899.79+202440.58</f>
        <v>13976848.32</v>
      </c>
      <c r="C65" s="43">
        <f>8309.67+16.13+46448.93+36.9+7359.5+23311.06+320613.8+2219.03+947.98+2233.23+12.6+24089.5+255.73+5415.04+33.12+1394.52+9843.34+39.33+764.71+46.26+20354.79+60.77+631.21+2150.48-62.66+280952.14+8901.52+96659.02</f>
        <v>863037.65000000014</v>
      </c>
      <c r="D65" s="41">
        <f t="shared" ref="D65:D70" si="5">SUM(B65:C65)</f>
        <v>14839885.970000001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38">
        <f>(B65-'FY2015'!B65)/'FY2015'!B65</f>
        <v>9.9006181286088596E-2</v>
      </c>
      <c r="U65" s="38">
        <f>(C65-'FY2015'!C65)/'FY2015'!C65</f>
        <v>3.1645621974245558E-2</v>
      </c>
      <c r="V65" s="38">
        <f>(D65-'FY2015'!D65)/'FY2015'!D65</f>
        <v>9.4848717857744722E-2</v>
      </c>
    </row>
    <row r="66" spans="1:22" x14ac:dyDescent="0.2">
      <c r="A66" s="9">
        <v>42491</v>
      </c>
      <c r="B66" s="174">
        <f>9965955.06+394404.85+2976639.9+108614.93+153871.23+146559.31+260497.65</f>
        <v>14006542.930000002</v>
      </c>
      <c r="C66" s="43">
        <f>7762.71+1.21+1.46+43733.56+39.45+7374.45+20232.92+302473.94+2122.93+820.97+2413.08+7.89+24131.46+260.11+5334.77+34.55+1180.5+10089.01+33+744.84+45.45+19449.99+54.62+323.48+0.23+2249.07-96.34+267545.54+8507.88+92542.31</f>
        <v>819415.0399999998</v>
      </c>
      <c r="D66" s="41">
        <f t="shared" si="5"/>
        <v>14825957.970000001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38">
        <f>(B66-'FY2015'!B66)/'FY2015'!B66</f>
        <v>3.8212315043347128E-2</v>
      </c>
      <c r="U66" s="38">
        <f>(C66-'FY2015'!C66)/'FY2015'!C66</f>
        <v>-7.3636015683278461E-2</v>
      </c>
      <c r="V66" s="38">
        <f>(D66-'FY2015'!D66)/'FY2015'!D66</f>
        <v>3.1330124151275646E-2</v>
      </c>
    </row>
    <row r="67" spans="1:22" x14ac:dyDescent="0.2">
      <c r="A67" s="9">
        <v>42522</v>
      </c>
      <c r="B67" s="43">
        <f>395731.2+3010296.53+115708.67+163920.69+157927.94+280706.05+10737971.96</f>
        <v>14862263.040000001</v>
      </c>
      <c r="C67" s="43">
        <f>7935.85+1.37+35754.05+39.57+7221.68+19776.67+280057.84+2106.02+2498.15+10.7+25384.47+257.76+5183.62+36.36+1097.39+11048.53+30.73+769.96+40.83+18281.1+4.47+323.1+0.47+0.23+2246.75-123.65+252873.4+8076.28+81261.98</f>
        <v>762195.68</v>
      </c>
      <c r="D67" s="41">
        <f t="shared" si="5"/>
        <v>15624458.720000001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8">
        <f>(B67-'FY2015'!B67)/'FY2015'!B67</f>
        <v>0.12247045625949649</v>
      </c>
      <c r="U67" s="38">
        <f>(C67-'FY2015'!C67)/'FY2015'!C67</f>
        <v>-3.6720846728943914E-2</v>
      </c>
      <c r="V67" s="38">
        <f>(D67-'FY2015'!D67)/'FY2015'!D67</f>
        <v>0.11349376133264119</v>
      </c>
    </row>
    <row r="68" spans="1:22" x14ac:dyDescent="0.2">
      <c r="A68" s="9">
        <v>42552</v>
      </c>
      <c r="B68" s="43">
        <f>10731655.1+392202.92+2754023.54+105664.32+149691.19+139986.84+248793.13</f>
        <v>14522017.039999999</v>
      </c>
      <c r="C68" s="43">
        <f>8190.16+0.23+31041.44+39.56+7277.92+19309.67+306975.65+2170.09+853.23+2388.53+6.61+25303.08+251.3+5580.59+35.15+1108.47+43.15+11981.39+29.84+783.27+40.97+18361.68+63.15+302.32+2165.76-87.12+232501.81+8261.97+78033.29</f>
        <v>763013.16000000015</v>
      </c>
      <c r="D68" s="41">
        <f t="shared" si="5"/>
        <v>15285030.199999999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38">
        <f>(B68-'FY2015'!B68)/'FY2015'!B68</f>
        <v>6.329213761830281E-2</v>
      </c>
      <c r="U68" s="38">
        <f>(C68-'FY2015'!C68)/'FY2015'!C68</f>
        <v>-8.52572311806188E-2</v>
      </c>
      <c r="V68" s="38">
        <f>(D68-'FY2015'!D68)/'FY2015'!D68</f>
        <v>5.4741791266549426E-2</v>
      </c>
    </row>
    <row r="69" spans="1:22" x14ac:dyDescent="0.2">
      <c r="A69" s="9">
        <v>42583</v>
      </c>
      <c r="B69" s="43">
        <f>10584154+371361+2776077.43+90144.26+127691.63+116745.56+207496.98</f>
        <v>14273670.860000001</v>
      </c>
      <c r="C69" s="43">
        <f>29042.88+30923.09+46.61+7113.02+18980.72+356627.01+2152.88+774.41+2212.97+4.41+14710.96+252.89+5559.03+23.29+1114.78+12088.52+24.76+692.25+18522.41+54.18+318.12+0.25+0.46+2165.7-83.19+172080.6+8232.86+66427.85</f>
        <v>750063.72</v>
      </c>
      <c r="D69" s="41">
        <f t="shared" si="5"/>
        <v>15023734.580000002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38">
        <f>(B69-'FY2015'!B69)/'FY2015'!B69</f>
        <v>4.2717409240789185E-2</v>
      </c>
      <c r="U69" s="38">
        <f>(C69-'FY2015'!C69)/'FY2015'!C69</f>
        <v>-0.10486209417910143</v>
      </c>
      <c r="V69" s="38">
        <f>(D69-'FY2015'!D69)/'FY2015'!D69</f>
        <v>3.4204796027052599E-2</v>
      </c>
    </row>
    <row r="70" spans="1:22" x14ac:dyDescent="0.2">
      <c r="A70" s="9">
        <v>42614</v>
      </c>
      <c r="B70" s="43">
        <f>10638009.39+396753.66+2910718.26+78168.15+110736.91+95417.28+169598.1</f>
        <v>14399401.75</v>
      </c>
      <c r="C70" s="43">
        <f>14494.62+0.23+0.25+30981.92+30.94+7049.96+20174.77+468687.34+2175.7+798.46+2250.09+4.01+13902.58+238.77+5325.43+23.83+1115.53+12126.95+27.86+637.66+18581.1+45.91+256.41+1.42+1.11+92.09+1775.35-58.27+70007.36+8109.4+82114.1</f>
        <v>760972.87999999989</v>
      </c>
      <c r="D70" s="41">
        <f t="shared" si="5"/>
        <v>15160374.629999999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38">
        <f>(B70-'FY2015'!B70)/'FY2015'!B70</f>
        <v>0.11144080893998135</v>
      </c>
      <c r="U70" s="38">
        <f>(C70-'FY2015'!C70)/'FY2015'!C70</f>
        <v>-8.3014134159885719E-2</v>
      </c>
      <c r="V70" s="38">
        <f>(D70-'FY2015'!D70)/'FY2015'!D70</f>
        <v>9.9734941122335372E-2</v>
      </c>
    </row>
    <row r="71" spans="1:22" x14ac:dyDescent="0.2">
      <c r="A71" s="108" t="s">
        <v>153</v>
      </c>
      <c r="B71" s="42">
        <f>SUM(B59:B70)</f>
        <v>161278165.28000003</v>
      </c>
      <c r="C71" s="42">
        <f>SUM(C59:C70)</f>
        <v>9925398.5800000019</v>
      </c>
      <c r="D71" s="42">
        <f>SUM(D59:D70)</f>
        <v>171203563.86000001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39">
        <f>AVERAGE(T59:T70)</f>
        <v>7.797906828466665E-2</v>
      </c>
      <c r="U71" s="39">
        <f>AVERAGE(U59:U70)</f>
        <v>4.6826257315229639E-3</v>
      </c>
      <c r="V71" s="39">
        <f>AVERAGE(V59:V70)</f>
        <v>7.3547787743684964E-2</v>
      </c>
    </row>
    <row r="72" spans="1:22" x14ac:dyDescent="0.2">
      <c r="A72" s="80"/>
      <c r="B72" s="76"/>
      <c r="C72" s="76"/>
      <c r="D72" s="7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51"/>
      <c r="U72" s="51"/>
      <c r="V72" s="51"/>
    </row>
    <row r="73" spans="1:22" x14ac:dyDescent="0.2">
      <c r="A73" s="17"/>
      <c r="B73" s="17"/>
      <c r="C73" s="17"/>
      <c r="D73" s="1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8"/>
      <c r="U73" s="18"/>
      <c r="V73" s="18"/>
    </row>
    <row r="74" spans="1:22" x14ac:dyDescent="0.2">
      <c r="A74" s="19"/>
      <c r="B74" s="208" t="s">
        <v>20</v>
      </c>
      <c r="C74" s="208"/>
      <c r="D74" s="208"/>
      <c r="E74" s="19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209" t="s">
        <v>20</v>
      </c>
      <c r="U74" s="209"/>
      <c r="V74" s="209"/>
    </row>
    <row r="75" spans="1:22" ht="24" x14ac:dyDescent="0.2">
      <c r="A75" s="162" t="s">
        <v>1</v>
      </c>
      <c r="B75" s="162" t="s">
        <v>2</v>
      </c>
      <c r="C75" s="100" t="s">
        <v>3</v>
      </c>
      <c r="D75" s="163" t="s">
        <v>4</v>
      </c>
      <c r="E75" s="19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8" t="s">
        <v>9</v>
      </c>
      <c r="U75" s="8" t="s">
        <v>10</v>
      </c>
      <c r="V75" s="54"/>
    </row>
    <row r="76" spans="1:22" x14ac:dyDescent="0.2">
      <c r="A76" s="9">
        <v>42278</v>
      </c>
      <c r="B76" s="43">
        <f>80208.24+672842.15+869523.23+65.3+164.74+136.03+34.6+6548.61+722.22+7.44+176.98+3266.03+74.71-43359.18-41711.02-61425.53-59090.6-57254.49-50755.32-191999.41</f>
        <v>1128174.7300000002</v>
      </c>
      <c r="C76" s="43">
        <f>1067855.39-C59-308.53-57528-16479.5</f>
        <v>91426.409999999945</v>
      </c>
      <c r="D76" s="43">
        <f>B76+C76</f>
        <v>1219601.1400000001</v>
      </c>
      <c r="E76" s="19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38">
        <f>(B76-'FY2015'!B76)/'FY2015'!B76</f>
        <v>0.19188902932853308</v>
      </c>
      <c r="U76" s="38">
        <f>(C76-'FY2015'!C76)/'FY2015'!C76</f>
        <v>-0.10051896082691525</v>
      </c>
      <c r="V76" s="26"/>
    </row>
    <row r="77" spans="1:22" x14ac:dyDescent="0.2">
      <c r="A77" s="9">
        <v>42309</v>
      </c>
      <c r="B77" s="43">
        <f>652472.38+741566.55+33913.17+54.6+164.89+163.05+29.38+5793.64+701.7+6.24+162.86+2770.6+35.19-46756.29-34947.94-66238.13-49509.55-63832.54-45341.78-194056.93</f>
        <v>937151.09000000008</v>
      </c>
      <c r="C77" s="43">
        <f>990706-C60-176.55-52723-15352.88</f>
        <v>84650.3299999999</v>
      </c>
      <c r="D77" s="43">
        <f t="shared" ref="D77:D87" si="6">B77+C77</f>
        <v>1021801.4199999999</v>
      </c>
      <c r="E77" s="19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38">
        <f>(B77-'FY2015'!B77)/'FY2015'!B77</f>
        <v>0.10217463984193607</v>
      </c>
      <c r="U77" s="38">
        <f>(C77-'FY2015'!C77)/'FY2015'!C77</f>
        <v>-0.12998855577121779</v>
      </c>
      <c r="V77" s="26"/>
    </row>
    <row r="78" spans="1:22" x14ac:dyDescent="0.2">
      <c r="A78" s="9">
        <v>42339</v>
      </c>
      <c r="B78" s="43">
        <f>37324.42+751989.33+841775.91+49.1+142.67+191.9+31.96+662.31+6.58+142.32+2255.32+30.87-56671.29-38630.88-80284.2-54727.07-75445.86-55601.29-232923.88</f>
        <v>1040318.2200000003</v>
      </c>
      <c r="C78" s="43">
        <f>1040840.69-C61-54876.1-15964.14</f>
        <v>90372.570000000051</v>
      </c>
      <c r="D78" s="43">
        <f t="shared" si="6"/>
        <v>1130690.7900000003</v>
      </c>
      <c r="E78" s="19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38">
        <f>(B78-'FY2015'!B78)/'FY2015'!B78</f>
        <v>0.13478160548943277</v>
      </c>
      <c r="U78" s="38">
        <f>(C78-'FY2015'!C78)/'FY2015'!C78</f>
        <v>0.1063171520433427</v>
      </c>
      <c r="V78" s="26"/>
    </row>
    <row r="79" spans="1:22" x14ac:dyDescent="0.2">
      <c r="A79" s="9">
        <v>42370</v>
      </c>
      <c r="B79" s="43">
        <f>36802.38+626137.44+809739.6+46.2+118.1+217.9+27.67+6122.75+4.83+125.99+1633.67+28.01-35849.96-41158.84-50787.47-58308.37-49813.85-51118.99-179366.83</f>
        <v>1014600.2299999996</v>
      </c>
      <c r="C79" s="43">
        <f>1010477.33-C62-54282.95-15762.84</f>
        <v>85933.449999999764</v>
      </c>
      <c r="D79" s="43">
        <f t="shared" si="6"/>
        <v>1100533.6799999995</v>
      </c>
      <c r="E79" s="1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38">
        <f>(B79-'FY2015'!B79)/'FY2015'!B79</f>
        <v>5.786137575393268E-2</v>
      </c>
      <c r="U79" s="38">
        <f>(C79-'FY2015'!C79)/'FY2015'!C79</f>
        <v>-9.999848138041649E-2</v>
      </c>
      <c r="V79" s="26"/>
    </row>
    <row r="80" spans="1:22" x14ac:dyDescent="0.2">
      <c r="A80" s="9">
        <v>42401</v>
      </c>
      <c r="B80" s="43">
        <f>36533.66+591179.03+787695.72+47.7+161.57+249.78+32.38+7287.17+747.73+5.11+134.94+2027.99+28.67-32772.56-38909.4-46427.9-55121.64-43455.06-47556.24-161742.48</f>
        <v>1000146.1700000002</v>
      </c>
      <c r="C80" s="101">
        <f>983177.09-C63-52131.4-15419.78</f>
        <v>85498.51999999996</v>
      </c>
      <c r="D80" s="43">
        <f t="shared" si="6"/>
        <v>1085644.6900000002</v>
      </c>
      <c r="E80" s="19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38">
        <f>(B80-'FY2015'!B80)/'FY2015'!B80</f>
        <v>6.3417738924187755E-2</v>
      </c>
      <c r="U80" s="38">
        <f>(C80-'FY2015'!C80)/'FY2015'!C80</f>
        <v>9.1301803908430859E-2</v>
      </c>
      <c r="V80" s="26"/>
    </row>
    <row r="81" spans="1:22" x14ac:dyDescent="0.2">
      <c r="A81" s="9">
        <v>42430</v>
      </c>
      <c r="B81" s="43">
        <f>39557.63+667379.03+884437.56+2310.88+503.94+46.4+164.22+282.41+39.42+8056.71+845.32+6.35+157.18+2230.07+33.61-82121.82-116339.32-104750.83-186148.72</f>
        <v>1116690.0399999998</v>
      </c>
      <c r="C81" s="101">
        <f>1066788.69-C64-57257.65-16504.05</f>
        <v>90496.089999999924</v>
      </c>
      <c r="D81" s="43">
        <f t="shared" si="6"/>
        <v>1207186.1299999997</v>
      </c>
      <c r="E81" s="1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38">
        <f>(B81-'FY2015'!B81)/'FY2015'!B81</f>
        <v>6.5476759494751596E-2</v>
      </c>
      <c r="U81" s="38">
        <f>(C81-'FY2015'!C81)/'FY2015'!C81</f>
        <v>1.622732493941972E-2</v>
      </c>
      <c r="V81" s="26"/>
    </row>
    <row r="82" spans="1:22" x14ac:dyDescent="0.2">
      <c r="A82" s="9">
        <v>42461</v>
      </c>
      <c r="B82" s="43">
        <f>42537.44+706513.33+927779.12+1847.41+426.47+53.4+184.29+254.58+37.19+8389.23+770.97+6.09+140.86+577.48+2713.51+28.44-88148.97-124877.84-113899.79-202440.58</f>
        <v>1162892.6299999999</v>
      </c>
      <c r="C82" s="101">
        <f>1026127.49-C65-71906.61</f>
        <v>91183.22999999985</v>
      </c>
      <c r="D82" s="43">
        <f t="shared" si="6"/>
        <v>1254075.8599999996</v>
      </c>
      <c r="E82" s="19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38">
        <f>(B82-'FY2015'!B82)/'FY2015'!B82</f>
        <v>0.10785695531656532</v>
      </c>
      <c r="U82" s="38">
        <f>(C82-'FY2015'!C82)/'FY2015'!C82</f>
        <v>3.0566668395894524E-2</v>
      </c>
      <c r="V82" s="26"/>
    </row>
    <row r="83" spans="1:22" x14ac:dyDescent="0.2">
      <c r="A83" s="9">
        <v>42491</v>
      </c>
      <c r="B83" s="43">
        <f>47163.84+858837.67+920193.98+4943.47+396.02+41.5+161.69+242.23+37.89+8364.88+749.1+6.47+143.83+2573.15+59.72-108614.93-153871.23-146559.31-260497.65</f>
        <v>1174372.3199999998</v>
      </c>
      <c r="C83" s="101">
        <f>972619-C66-68665.6</f>
        <v>84538.36000000019</v>
      </c>
      <c r="D83" s="43">
        <f t="shared" si="6"/>
        <v>1258910.68</v>
      </c>
      <c r="E83" s="19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38">
        <f>(B83-'FY2015'!B83)/'FY2015'!B83</f>
        <v>5.2248279460935819E-2</v>
      </c>
      <c r="U83" s="38">
        <f>(C83-'FY2015'!C83)/'FY2015'!C83</f>
        <v>-7.9704833602852881E-2</v>
      </c>
      <c r="V83" s="26"/>
    </row>
    <row r="84" spans="1:22" x14ac:dyDescent="0.2">
      <c r="A84" s="9">
        <v>42522</v>
      </c>
      <c r="B84" s="43">
        <f>45463.32+922671.13+983994.85+4246.84+381.24+48.9+158.27+263.58+34.48+7694.21+755.52+6.33+175.69+71.56-115708.67-163920.69-157927.94-280706.05</f>
        <v>1247702.57</v>
      </c>
      <c r="C84" s="101">
        <f>910087.76-C67-64683.38</f>
        <v>83208.699999999953</v>
      </c>
      <c r="D84" s="43">
        <f t="shared" si="6"/>
        <v>1330911.27</v>
      </c>
      <c r="E84" s="19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38">
        <f>(B84-'FY2015'!B84)/'FY2015'!B84</f>
        <v>0.11355129697757478</v>
      </c>
      <c r="U84" s="38">
        <f>(C84-'FY2015'!C84)/'FY2015'!C84</f>
        <v>-2.8178475983454375E-2</v>
      </c>
      <c r="V84" s="26"/>
    </row>
    <row r="85" spans="1:22" x14ac:dyDescent="0.2">
      <c r="A85" s="9">
        <v>42552</v>
      </c>
      <c r="B85" s="43">
        <f>41983.91+832495.28+1017221.05+4252.43+398.94+41.8+171.86+230.4+35.48+8888.28+726.54+7.63+177.06+2680.09+70.39-105664.32-149691.19-139986.84-248793.13</f>
        <v>1265245.6600000001</v>
      </c>
      <c r="C85" s="101">
        <f>903689.68-C68-61677.53</f>
        <v>78998.989999999903</v>
      </c>
      <c r="D85" s="43">
        <f t="shared" si="6"/>
        <v>1344244.6500000001</v>
      </c>
      <c r="E85" s="1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38">
        <f>(B85-'FY2015'!B85)/'FY2015'!B85</f>
        <v>0.12027016484580826</v>
      </c>
      <c r="U85" s="38">
        <f>(C85-'FY2015'!C85)/'FY2015'!C85</f>
        <v>-0.14293573649992772</v>
      </c>
      <c r="V85" s="26"/>
    </row>
    <row r="86" spans="1:22" x14ac:dyDescent="0.2">
      <c r="A86" s="9">
        <v>42583</v>
      </c>
      <c r="B86" s="43">
        <f>38933.99+733336.96+996599.73+4491.92+372.54+39.8+246.78+344.73+35.96+9873.73+896.58+7.36+182.73+2614.84+78.73-207496.98-116745.56-90144.26-127691.63</f>
        <v>1245977.9500000002</v>
      </c>
      <c r="C86" s="101">
        <f>880953.23-C69-52646.84</f>
        <v>78242.670000000013</v>
      </c>
      <c r="D86" s="43">
        <f t="shared" si="6"/>
        <v>1324220.6200000001</v>
      </c>
      <c r="E86" s="19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38">
        <f>(B86-'FY2015'!B86)/'FY2015'!B86</f>
        <v>8.4590588445723522E-2</v>
      </c>
      <c r="U86" s="38">
        <f>(C86-'FY2015'!C86)/'FY2015'!C86</f>
        <v>-9.2667451587677641E-2</v>
      </c>
      <c r="V86" s="26"/>
    </row>
    <row r="87" spans="1:22" x14ac:dyDescent="0.2">
      <c r="A87" s="9">
        <v>42614</v>
      </c>
      <c r="B87" s="43">
        <f>39684.59+633519.96+996829.03+5330.69+337.81+37.4+245.16+256.48+43.04+10992.85+872.64+9.64+172.28+2953.95+75.35-78168.15-110736.91-95417.28-169598.1</f>
        <v>1237440.43</v>
      </c>
      <c r="C87" s="101">
        <f>888110.92-C70-41536.84</f>
        <v>85601.200000000157</v>
      </c>
      <c r="D87" s="43">
        <f t="shared" si="6"/>
        <v>1323041.6300000001</v>
      </c>
      <c r="E87" s="19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38">
        <f>(B87-'FY2015'!B87)/'FY2015'!B87</f>
        <v>0.14618680213372709</v>
      </c>
      <c r="U87" s="38">
        <f>(C87-'FY2015'!C87)/'FY2015'!C87</f>
        <v>-5.4414584787775028E-2</v>
      </c>
      <c r="V87" s="26"/>
    </row>
    <row r="88" spans="1:22" x14ac:dyDescent="0.2">
      <c r="A88" s="108" t="s">
        <v>153</v>
      </c>
      <c r="B88" s="45">
        <f>SUM(B76:B87)</f>
        <v>13570712.039999999</v>
      </c>
      <c r="C88" s="45">
        <f>SUM(C76:C87)</f>
        <v>1030150.5199999997</v>
      </c>
      <c r="D88" s="45">
        <f>SUM(D76:D87)</f>
        <v>14600862.560000001</v>
      </c>
      <c r="E88" s="1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39">
        <f>AVERAGE(T76:T87)</f>
        <v>0.10335876966775907</v>
      </c>
      <c r="U88" s="39">
        <f>AVERAGE(U76:U87)</f>
        <v>-4.033284426276245E-2</v>
      </c>
      <c r="V88" s="23"/>
    </row>
    <row r="89" spans="1:22" x14ac:dyDescent="0.2">
      <c r="A89" s="81"/>
      <c r="B89" s="21"/>
      <c r="C89" s="21"/>
      <c r="D89" s="21"/>
      <c r="E89" s="21"/>
    </row>
    <row r="90" spans="1:22" s="175" customFormat="1" ht="15.75" customHeight="1" x14ac:dyDescent="0.2">
      <c r="A90" s="81"/>
      <c r="B90" s="21"/>
      <c r="C90" s="21"/>
      <c r="D90" s="21"/>
      <c r="E90" s="21"/>
    </row>
    <row r="91" spans="1:22" s="175" customFormat="1" ht="15.75" customHeight="1" x14ac:dyDescent="0.2">
      <c r="A91" s="81"/>
      <c r="B91" s="21"/>
      <c r="C91" s="21"/>
      <c r="D91" s="21"/>
      <c r="E91" s="21"/>
    </row>
    <row r="92" spans="1:22" s="175" customFormat="1" ht="15.75" customHeight="1" x14ac:dyDescent="0.2">
      <c r="A92" s="81"/>
      <c r="B92" s="21"/>
      <c r="C92" s="21"/>
      <c r="D92" s="21"/>
      <c r="E92" s="21"/>
    </row>
    <row r="93" spans="1:22" s="175" customFormat="1" x14ac:dyDescent="0.2">
      <c r="A93" s="81"/>
      <c r="B93" s="21"/>
      <c r="C93" s="21"/>
      <c r="D93" s="21"/>
      <c r="E93" s="21"/>
    </row>
    <row r="94" spans="1:22" s="175" customFormat="1" x14ac:dyDescent="0.2">
      <c r="A94" s="81"/>
      <c r="B94" s="21"/>
      <c r="C94" s="21"/>
      <c r="D94" s="21"/>
      <c r="E94" s="21"/>
    </row>
    <row r="95" spans="1:22" s="175" customFormat="1" x14ac:dyDescent="0.2">
      <c r="A95" s="81"/>
      <c r="B95" s="21"/>
      <c r="C95" s="21"/>
      <c r="D95" s="21"/>
      <c r="E95" s="21"/>
    </row>
    <row r="96" spans="1:22" s="175" customFormat="1" x14ac:dyDescent="0.2">
      <c r="A96" s="81"/>
      <c r="B96" s="21"/>
      <c r="C96" s="21"/>
      <c r="D96" s="21"/>
      <c r="E96" s="21"/>
    </row>
    <row r="97" spans="1:22" x14ac:dyDescent="0.2">
      <c r="A97" s="19"/>
      <c r="B97" s="19"/>
      <c r="C97" s="19"/>
      <c r="D97" s="19"/>
      <c r="E97" s="19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">
      <c r="A98" s="19"/>
      <c r="B98" s="208" t="s">
        <v>46</v>
      </c>
      <c r="C98" s="208"/>
      <c r="D98" s="210"/>
      <c r="E98" s="19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209" t="s">
        <v>47</v>
      </c>
      <c r="U98" s="209"/>
      <c r="V98" s="209"/>
    </row>
    <row r="99" spans="1:22" x14ac:dyDescent="0.2">
      <c r="A99" s="162" t="s">
        <v>1</v>
      </c>
      <c r="B99" s="162" t="s">
        <v>48</v>
      </c>
      <c r="C99" s="162" t="s">
        <v>42</v>
      </c>
      <c r="D99" s="162" t="s">
        <v>7</v>
      </c>
      <c r="E99" s="19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8" t="s">
        <v>70</v>
      </c>
      <c r="U99" s="8" t="s">
        <v>70</v>
      </c>
      <c r="V99" s="8" t="s">
        <v>71</v>
      </c>
    </row>
    <row r="100" spans="1:22" x14ac:dyDescent="0.2">
      <c r="A100" s="9">
        <v>42278</v>
      </c>
      <c r="B100" s="73">
        <v>2795438</v>
      </c>
      <c r="C100" s="43">
        <v>155684065.27000001</v>
      </c>
      <c r="D100" s="43">
        <v>773177.93</v>
      </c>
      <c r="E100" s="19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102">
        <f>(B100-'FY2015'!B93)/'FY2015'!B93</f>
        <v>2.9923145507733347E-2</v>
      </c>
      <c r="U100" s="102">
        <f>(C100-'FY2015'!C93)/'FY2015'!C93</f>
        <v>-6.6930706934123979E-2</v>
      </c>
      <c r="V100" s="102">
        <f>(D100-'FY2015'!D93)/'FY2015'!D93</f>
        <v>-6.0144300898552917E-2</v>
      </c>
    </row>
    <row r="101" spans="1:22" x14ac:dyDescent="0.2">
      <c r="A101" s="9">
        <v>42309</v>
      </c>
      <c r="B101" s="73">
        <v>2435981</v>
      </c>
      <c r="C101" s="43">
        <v>137431140.58000001</v>
      </c>
      <c r="D101" s="43">
        <v>674368.57</v>
      </c>
      <c r="E101" s="1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102">
        <f>(B101-'FY2015'!B94)/'FY2015'!B94</f>
        <v>-7.9486898589655307E-3</v>
      </c>
      <c r="U101" s="102">
        <f>(C101-'FY2015'!C94)/'FY2015'!C94</f>
        <v>-0.10866266723351094</v>
      </c>
      <c r="V101" s="102">
        <f>(D101-'FY2015'!D94)/'FY2015'!D94</f>
        <v>-9.6747039478574617E-2</v>
      </c>
    </row>
    <row r="102" spans="1:22" x14ac:dyDescent="0.2">
      <c r="A102" s="9">
        <v>42339</v>
      </c>
      <c r="B102" s="73">
        <v>2665659</v>
      </c>
      <c r="C102" s="43">
        <v>150880948.49000001</v>
      </c>
      <c r="D102" s="43">
        <v>741801.69</v>
      </c>
      <c r="E102" s="1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102">
        <f>(B102-'FY2015'!B95)/'FY2015'!B95</f>
        <v>-1.3762474300342194E-2</v>
      </c>
      <c r="U102" s="102">
        <f>(C102-'FY2015'!C95)/'FY2015'!C95</f>
        <v>-0.12984987128339565</v>
      </c>
      <c r="V102" s="102">
        <f>(D102-'FY2015'!D95)/'FY2015'!D95</f>
        <v>-9.4231372024739204E-2</v>
      </c>
    </row>
    <row r="103" spans="1:22" x14ac:dyDescent="0.2">
      <c r="A103" s="9">
        <v>42370</v>
      </c>
      <c r="B103" s="73">
        <v>2597817</v>
      </c>
      <c r="C103" s="43">
        <v>150033333.88</v>
      </c>
      <c r="D103" s="43">
        <v>725207.8</v>
      </c>
      <c r="E103" s="19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102">
        <f>(B103-'FY2015'!B96)/'FY2015'!B96</f>
        <v>-2.0870717562361699E-2</v>
      </c>
      <c r="U103" s="102">
        <f>(C103-'FY2015'!C96)/'FY2015'!C96</f>
        <v>-0.10679903487869513</v>
      </c>
      <c r="V103" s="102">
        <f>(D103-'FY2015'!D96)/'FY2015'!D96</f>
        <v>-0.10498144911349126</v>
      </c>
    </row>
    <row r="104" spans="1:22" x14ac:dyDescent="0.2">
      <c r="A104" s="9">
        <v>42401</v>
      </c>
      <c r="B104" s="73">
        <v>2642545</v>
      </c>
      <c r="C104" s="43">
        <v>150420589.31</v>
      </c>
      <c r="D104" s="43">
        <v>741151.58</v>
      </c>
      <c r="E104" s="19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102">
        <f>(B104-'FY2015'!B97)/'FY2015'!B97</f>
        <v>3.3868849367580382E-2</v>
      </c>
      <c r="U104" s="102">
        <f>(C104-'FY2015'!C97)/'FY2015'!C97</f>
        <v>-8.6566225176662126E-2</v>
      </c>
      <c r="V104" s="102">
        <f>(D104-'FY2015'!D97)/'FY2015'!D97</f>
        <v>-6.8970725243439251E-2</v>
      </c>
    </row>
    <row r="105" spans="1:22" x14ac:dyDescent="0.2">
      <c r="A105" s="9">
        <v>42430</v>
      </c>
      <c r="B105" s="73">
        <v>3035299</v>
      </c>
      <c r="C105" s="43">
        <v>168277615.47</v>
      </c>
      <c r="D105" s="43">
        <v>841281.53</v>
      </c>
      <c r="E105" s="19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102">
        <f>(B105-'FY2015'!B98)/'FY2015'!B98</f>
        <v>4.7996624643897513E-2</v>
      </c>
      <c r="U105" s="102">
        <f>(C105-'FY2015'!C98)/'FY2015'!C98</f>
        <v>-6.8627198982065263E-2</v>
      </c>
      <c r="V105" s="102">
        <f>(D105-'FY2015'!D98)/'FY2015'!D98</f>
        <v>-6.1407174433959634E-2</v>
      </c>
    </row>
    <row r="106" spans="1:22" x14ac:dyDescent="0.2">
      <c r="A106" s="9">
        <v>42461</v>
      </c>
      <c r="B106" s="73">
        <v>2903222</v>
      </c>
      <c r="C106" s="43">
        <v>163824768.66999999</v>
      </c>
      <c r="D106" s="43">
        <v>803719.65</v>
      </c>
      <c r="E106" s="1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102">
        <f>(B106-'FY2015'!B99)/'FY2015'!B99</f>
        <v>1.8724071103818747E-2</v>
      </c>
      <c r="U106" s="102">
        <f>(C106-'FY2015'!C99)/'FY2015'!C99</f>
        <v>-1.6762264131372825E-2</v>
      </c>
      <c r="V106" s="102">
        <f>(D106-'FY2015'!D99)/'FY2015'!D99</f>
        <v>-3.6648093419525171E-2</v>
      </c>
    </row>
    <row r="107" spans="1:22" x14ac:dyDescent="0.2">
      <c r="A107" s="9">
        <v>42491</v>
      </c>
      <c r="B107" s="73">
        <v>2941734</v>
      </c>
      <c r="C107" s="43">
        <v>164263735.62</v>
      </c>
      <c r="D107" s="43">
        <v>820885.96</v>
      </c>
      <c r="E107" s="19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102">
        <f>(B107-'FY2015'!B100)/'FY2015'!B100</f>
        <v>2.9589911766455854E-2</v>
      </c>
      <c r="U107" s="102">
        <f>(C107-'FY2015'!C100)/'FY2015'!C100</f>
        <v>-2.3902714201196908E-2</v>
      </c>
      <c r="V107" s="102">
        <f>(D107-'FY2015'!D100)/'FY2015'!D100</f>
        <v>1.9578844508635632E-2</v>
      </c>
    </row>
    <row r="108" spans="1:22" x14ac:dyDescent="0.2">
      <c r="A108" s="9">
        <v>42522</v>
      </c>
      <c r="B108" s="73">
        <v>3181671</v>
      </c>
      <c r="C108" s="43">
        <v>176991148.19</v>
      </c>
      <c r="D108" s="43">
        <v>885617.12</v>
      </c>
      <c r="E108" s="19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102">
        <f>(B108-'FY2015'!B101)/'FY2015'!B101</f>
        <v>0.12310496151679325</v>
      </c>
      <c r="U108" s="102">
        <f>(C108-'FY2015'!C101)/'FY2015'!C101</f>
        <v>8.3604410344440119E-2</v>
      </c>
      <c r="V108" s="102">
        <f>(D108-'FY2015'!D101)/'FY2015'!D101</f>
        <v>0.1100120082277172</v>
      </c>
    </row>
    <row r="109" spans="1:22" x14ac:dyDescent="0.2">
      <c r="A109" s="9">
        <v>42552</v>
      </c>
      <c r="B109" s="73">
        <v>3196714</v>
      </c>
      <c r="C109" s="43">
        <v>178226549</v>
      </c>
      <c r="D109" s="43">
        <v>893738.94</v>
      </c>
      <c r="E109" s="1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102">
        <f>(B109-'FY2015'!B102)/'FY2015'!B102</f>
        <v>8.2939517311982916E-2</v>
      </c>
      <c r="U109" s="102">
        <f>(C109-'FY2015'!C102)/'FY2015'!C102</f>
        <v>5.8527305749247326E-2</v>
      </c>
      <c r="V109" s="102">
        <f>(D109-'FY2015'!D102)/'FY2015'!D102</f>
        <v>6.180607589647321E-2</v>
      </c>
    </row>
    <row r="110" spans="1:22" x14ac:dyDescent="0.2">
      <c r="A110" s="9">
        <v>42583</v>
      </c>
      <c r="B110" s="73">
        <v>3161347</v>
      </c>
      <c r="C110" s="43">
        <v>173937029</v>
      </c>
      <c r="D110" s="43">
        <v>872728</v>
      </c>
      <c r="E110" s="1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102">
        <f>(B110-'FY2015'!B103)/'FY2015'!B103</f>
        <v>0.11080163246375183</v>
      </c>
      <c r="U110" s="102">
        <f>(C110-'FY2015'!C103)/'FY2015'!C103</f>
        <v>6.8522215909301395E-2</v>
      </c>
      <c r="V110" s="102">
        <f>(D110-'FY2015'!D103)/'FY2015'!D103</f>
        <v>0.10105187136604296</v>
      </c>
    </row>
    <row r="111" spans="1:22" x14ac:dyDescent="0.2">
      <c r="A111" s="9">
        <v>42614</v>
      </c>
      <c r="B111" s="73">
        <v>2993058</v>
      </c>
      <c r="C111" s="43">
        <v>166599921.99000001</v>
      </c>
      <c r="D111" s="43">
        <v>827359.59</v>
      </c>
      <c r="E111" s="19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102">
        <f>(B111-'FY2015'!B104)/'FY2015'!B104</f>
        <v>0.10176496160830273</v>
      </c>
      <c r="U111" s="102">
        <f>(C111-'FY2015'!C104)/'FY2015'!C104</f>
        <v>8.9309750516285882E-2</v>
      </c>
      <c r="V111" s="102">
        <f>(D111-'FY2015'!D104)/'FY2015'!D104</f>
        <v>8.9794926115368517E-2</v>
      </c>
    </row>
    <row r="112" spans="1:22" x14ac:dyDescent="0.2">
      <c r="A112" s="108" t="s">
        <v>153</v>
      </c>
      <c r="B112" s="74">
        <f>SUM(B100:B111)</f>
        <v>34550485</v>
      </c>
      <c r="C112" s="45">
        <f>SUM(C100:C111)</f>
        <v>1936570845.47</v>
      </c>
      <c r="D112" s="45">
        <f>SUM(D100:D111)</f>
        <v>9601038.3600000013</v>
      </c>
      <c r="E112" s="19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103">
        <f>AVERAGE(T100:T111)</f>
        <v>4.4677649464053927E-2</v>
      </c>
      <c r="U112" s="103">
        <f>AVERAGE(U100:U111)</f>
        <v>-2.5678083358479011E-2</v>
      </c>
      <c r="V112" s="103">
        <f>AVERAGE(V100:V111)</f>
        <v>-1.174053570817038E-2</v>
      </c>
    </row>
    <row r="113" spans="1:22" x14ac:dyDescent="0.2">
      <c r="B113" s="21"/>
      <c r="C113" s="21"/>
      <c r="D113" s="21"/>
      <c r="E113" s="21"/>
    </row>
    <row r="114" spans="1:22" x14ac:dyDescent="0.2">
      <c r="A114" s="59"/>
      <c r="B114" s="21"/>
      <c r="C114" s="21"/>
      <c r="D114" s="21"/>
      <c r="E114" s="21"/>
    </row>
    <row r="115" spans="1:22" x14ac:dyDescent="0.2">
      <c r="A115" s="59"/>
      <c r="B115" s="21"/>
      <c r="C115" s="21"/>
      <c r="D115" s="21"/>
      <c r="E115" s="21"/>
    </row>
    <row r="116" spans="1:22" x14ac:dyDescent="0.2">
      <c r="A116" s="19"/>
      <c r="B116" s="208" t="s">
        <v>114</v>
      </c>
      <c r="C116" s="208"/>
      <c r="D116" s="210"/>
      <c r="E116" s="1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209" t="s">
        <v>57</v>
      </c>
      <c r="U116" s="209"/>
      <c r="V116" s="209"/>
    </row>
    <row r="117" spans="1:22" ht="24" x14ac:dyDescent="0.2">
      <c r="A117" s="162" t="s">
        <v>1</v>
      </c>
      <c r="B117" s="162" t="s">
        <v>2</v>
      </c>
      <c r="C117" s="162" t="s">
        <v>3</v>
      </c>
      <c r="D117" s="94"/>
      <c r="E117" s="19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8" t="s">
        <v>9</v>
      </c>
      <c r="U117" s="8" t="s">
        <v>10</v>
      </c>
      <c r="V117" s="54"/>
    </row>
    <row r="118" spans="1:22" x14ac:dyDescent="0.2">
      <c r="A118" s="9">
        <v>42278</v>
      </c>
      <c r="B118" s="31">
        <f t="shared" ref="B118:C129" si="7">B59/B25</f>
        <v>1.7133547968450367</v>
      </c>
      <c r="C118" s="31">
        <f t="shared" si="7"/>
        <v>0.26829419861158776</v>
      </c>
      <c r="D118" s="92"/>
      <c r="E118" s="19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38">
        <f>(B118-'FY2015'!B111)/'FY2015'!B111</f>
        <v>-1.6774495520638318E-2</v>
      </c>
      <c r="U118" s="38">
        <f>(C118-'FY2015'!C111)/'FY2015'!C111</f>
        <v>2.2482004958499294E-2</v>
      </c>
      <c r="V118" s="26"/>
    </row>
    <row r="119" spans="1:22" x14ac:dyDescent="0.2">
      <c r="A119" s="9">
        <v>42309</v>
      </c>
      <c r="B119" s="31">
        <f t="shared" si="7"/>
        <v>1.7193193864225462</v>
      </c>
      <c r="C119" s="31">
        <f t="shared" si="7"/>
        <v>0.25775039963771107</v>
      </c>
      <c r="D119" s="92"/>
      <c r="E119" s="19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38">
        <f>(B119-'FY2015'!B112)/'FY2015'!B112</f>
        <v>1.3018783268947514E-2</v>
      </c>
      <c r="U119" s="38">
        <f>(C119-'FY2015'!C112)/'FY2015'!C112</f>
        <v>8.8612353537195227E-3</v>
      </c>
      <c r="V119" s="26"/>
    </row>
    <row r="120" spans="1:22" x14ac:dyDescent="0.2">
      <c r="A120" s="9">
        <v>42339</v>
      </c>
      <c r="B120" s="31">
        <f t="shared" si="7"/>
        <v>1.8261677135766317</v>
      </c>
      <c r="C120" s="31">
        <f t="shared" si="7"/>
        <v>0.27432426245725122</v>
      </c>
      <c r="D120" s="92"/>
      <c r="E120" s="19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38">
        <f>(B120-'FY2015'!B113)/'FY2015'!B113</f>
        <v>5.069904024968655E-2</v>
      </c>
      <c r="U120" s="38">
        <f>(C120-'FY2015'!C113)/'FY2015'!C113</f>
        <v>2.3003761699218105E-2</v>
      </c>
      <c r="V120" s="26"/>
    </row>
    <row r="121" spans="1:22" x14ac:dyDescent="0.2">
      <c r="A121" s="9">
        <v>42370</v>
      </c>
      <c r="B121" s="31">
        <f t="shared" si="7"/>
        <v>1.7068831140746978</v>
      </c>
      <c r="C121" s="31">
        <f t="shared" si="7"/>
        <v>0.26064922697275611</v>
      </c>
      <c r="D121" s="92"/>
      <c r="E121" s="19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38">
        <f>(B121-'FY2015'!B114)/'FY2015'!B114</f>
        <v>4.6114764175690104E-2</v>
      </c>
      <c r="U121" s="38">
        <f>(C121-'FY2015'!C114)/'FY2015'!C114</f>
        <v>-7.5126844657999233E-3</v>
      </c>
      <c r="V121" s="26"/>
    </row>
    <row r="122" spans="1:22" x14ac:dyDescent="0.2">
      <c r="A122" s="9">
        <v>42401</v>
      </c>
      <c r="B122" s="31">
        <f t="shared" si="7"/>
        <v>1.6217632187429403</v>
      </c>
      <c r="C122" s="31">
        <f t="shared" si="7"/>
        <v>0.26132920916287378</v>
      </c>
      <c r="D122" s="92"/>
      <c r="E122" s="19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38">
        <f>(B122-'FY2015'!B115)/'FY2015'!B115</f>
        <v>2.4624073120462706E-2</v>
      </c>
      <c r="U122" s="38">
        <f>(C122-'FY2015'!C115)/'FY2015'!C115</f>
        <v>2.0606481439109807E-2</v>
      </c>
      <c r="V122" s="26"/>
    </row>
    <row r="123" spans="1:22" x14ac:dyDescent="0.2">
      <c r="A123" s="9">
        <v>42430</v>
      </c>
      <c r="B123" s="31">
        <f t="shared" si="7"/>
        <v>1.611202059129041</v>
      </c>
      <c r="C123" s="31">
        <f t="shared" si="7"/>
        <v>0.26838992375310755</v>
      </c>
      <c r="D123" s="92"/>
      <c r="E123" s="19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38">
        <f>(B123-'FY2015'!B116)/'FY2015'!B116</f>
        <v>2.3182737442866835E-2</v>
      </c>
      <c r="U123" s="38">
        <f>(C123-'FY2015'!C116)/'FY2015'!C116</f>
        <v>5.4990320814368738E-3</v>
      </c>
      <c r="V123" s="26"/>
    </row>
    <row r="124" spans="1:22" x14ac:dyDescent="0.2">
      <c r="A124" s="9">
        <v>42461</v>
      </c>
      <c r="B124" s="31">
        <f t="shared" si="7"/>
        <v>1.7321021382529187</v>
      </c>
      <c r="C124" s="31">
        <f t="shared" si="7"/>
        <v>0.263802053164646</v>
      </c>
      <c r="D124" s="92"/>
      <c r="E124" s="19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38">
        <f>(B124-'FY2015'!B117)/'FY2015'!B117</f>
        <v>4.5370286282954524E-2</v>
      </c>
      <c r="U124" s="38">
        <f>(C124-'FY2015'!C117)/'FY2015'!C117</f>
        <v>4.4844476760926132E-3</v>
      </c>
      <c r="V124" s="26"/>
    </row>
    <row r="125" spans="1:22" x14ac:dyDescent="0.2">
      <c r="A125" s="9">
        <v>42491</v>
      </c>
      <c r="B125" s="31">
        <f t="shared" si="7"/>
        <v>1.671619860499266</v>
      </c>
      <c r="C125" s="31">
        <f t="shared" si="7"/>
        <v>0.2556382868867827</v>
      </c>
      <c r="D125" s="92"/>
      <c r="E125" s="19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38">
        <f>(B125-'FY2015'!B118)/'FY2015'!B118</f>
        <v>-5.6970385228678902E-3</v>
      </c>
      <c r="U125" s="38">
        <f>(C125-'FY2015'!C118)/'FY2015'!C118</f>
        <v>-2.75607097538688E-2</v>
      </c>
      <c r="V125" s="26"/>
    </row>
    <row r="126" spans="1:22" x14ac:dyDescent="0.2">
      <c r="A126" s="9">
        <v>42522</v>
      </c>
      <c r="B126" s="31">
        <f t="shared" si="7"/>
        <v>1.7068337072444979</v>
      </c>
      <c r="C126" s="31">
        <f t="shared" si="7"/>
        <v>0.26068327999020469</v>
      </c>
      <c r="D126" s="92"/>
      <c r="E126" s="19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38">
        <f>(B126-'FY2015'!B119)/'FY2015'!B119</f>
        <v>3.1851467056774163E-2</v>
      </c>
      <c r="U126" s="38">
        <f>(C126-'FY2015'!C119)/'FY2015'!C119</f>
        <v>9.1666046154991973E-4</v>
      </c>
      <c r="V126" s="26"/>
    </row>
    <row r="127" spans="1:22" x14ac:dyDescent="0.2">
      <c r="A127" s="9">
        <v>42552</v>
      </c>
      <c r="B127" s="31">
        <f t="shared" si="7"/>
        <v>1.6684753138440662</v>
      </c>
      <c r="C127" s="31">
        <f t="shared" si="7"/>
        <v>0.26123403735205702</v>
      </c>
      <c r="D127" s="92"/>
      <c r="E127" s="19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38">
        <f>(B127-'FY2015'!B120)/'FY2015'!B120</f>
        <v>2.0887943110262236E-2</v>
      </c>
      <c r="U127" s="38">
        <f>(C127-'FY2015'!C120)/'FY2015'!C120</f>
        <v>-1.143554866650856E-2</v>
      </c>
      <c r="V127" s="26"/>
    </row>
    <row r="128" spans="1:22" x14ac:dyDescent="0.2">
      <c r="A128" s="9">
        <v>42583</v>
      </c>
      <c r="B128" s="31">
        <f t="shared" si="7"/>
        <v>1.6668283078207979</v>
      </c>
      <c r="C128" s="31">
        <f t="shared" si="7"/>
        <v>0.25924536284009236</v>
      </c>
      <c r="D128" s="92"/>
      <c r="E128" s="19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38">
        <f>(B128-'FY2015'!B121)/'FY2015'!B121</f>
        <v>-1.8869773119743541E-2</v>
      </c>
      <c r="U128" s="38">
        <f>(C128-'FY2015'!C121)/'FY2015'!C121</f>
        <v>1.4040169039581045E-2</v>
      </c>
      <c r="V128" s="26"/>
    </row>
    <row r="129" spans="1:22" x14ac:dyDescent="0.2">
      <c r="A129" s="9">
        <v>42614</v>
      </c>
      <c r="B129" s="31">
        <f t="shared" si="7"/>
        <v>1.775834908321797</v>
      </c>
      <c r="C129" s="31">
        <f t="shared" si="7"/>
        <v>0.26356996594596238</v>
      </c>
      <c r="D129" s="92"/>
      <c r="E129" s="19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38">
        <f>(B129-'FY2015'!B122)/'FY2015'!B122</f>
        <v>3.6891233913222347E-2</v>
      </c>
      <c r="U129" s="38">
        <f>(C129-'FY2015'!C122)/'FY2015'!C122</f>
        <v>-9.251930045494591E-3</v>
      </c>
      <c r="V129" s="26"/>
    </row>
    <row r="130" spans="1:22" x14ac:dyDescent="0.2">
      <c r="A130" s="108" t="s">
        <v>153</v>
      </c>
      <c r="B130" s="32">
        <f>AVERAGE(B118:B129)</f>
        <v>1.7016987103978531</v>
      </c>
      <c r="C130" s="32">
        <f>AVERAGE(C118:C129)</f>
        <v>0.26290918389791934</v>
      </c>
      <c r="D130" s="93"/>
      <c r="E130" s="19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39">
        <f>AVERAGE(T118:T129)</f>
        <v>2.0941585121468102E-2</v>
      </c>
      <c r="U130" s="39">
        <f>AVERAGE(U118:U129)</f>
        <v>3.677743314794609E-3</v>
      </c>
      <c r="V130" s="23"/>
    </row>
    <row r="131" spans="1:22" x14ac:dyDescent="0.2">
      <c r="A131" s="176" t="s">
        <v>35</v>
      </c>
      <c r="B131" s="88"/>
      <c r="C131" s="88"/>
      <c r="D131" s="88"/>
      <c r="E131" s="19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1"/>
      <c r="U131" s="51"/>
      <c r="V131" s="18"/>
    </row>
    <row r="132" spans="1:22" x14ac:dyDescent="0.2">
      <c r="B132" s="21"/>
      <c r="C132" s="21"/>
      <c r="D132" s="21"/>
      <c r="E132" s="21"/>
    </row>
    <row r="133" spans="1:22" x14ac:dyDescent="0.2">
      <c r="A133" s="19"/>
      <c r="B133" s="208" t="s">
        <v>53</v>
      </c>
      <c r="C133" s="208"/>
      <c r="D133" s="210"/>
      <c r="E133" s="19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209" t="s">
        <v>31</v>
      </c>
      <c r="U133" s="209"/>
      <c r="V133" s="209"/>
    </row>
    <row r="134" spans="1:22" ht="24" x14ac:dyDescent="0.2">
      <c r="A134" s="162" t="s">
        <v>1</v>
      </c>
      <c r="B134" s="162" t="s">
        <v>56</v>
      </c>
      <c r="C134" s="162" t="s">
        <v>3</v>
      </c>
      <c r="D134" s="94"/>
      <c r="E134" s="19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8" t="s">
        <v>9</v>
      </c>
      <c r="U134" s="8" t="s">
        <v>10</v>
      </c>
      <c r="V134" s="54"/>
    </row>
    <row r="135" spans="1:22" x14ac:dyDescent="0.2">
      <c r="A135" s="9">
        <v>42278</v>
      </c>
      <c r="B135" s="90">
        <f t="shared" ref="B135:C146" si="8">B76/B25</f>
        <v>0.1475659676637294</v>
      </c>
      <c r="C135" s="90">
        <f t="shared" si="8"/>
        <v>2.7190802884366577E-2</v>
      </c>
      <c r="D135" s="92"/>
      <c r="E135" s="19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38">
        <f>(B135-'FY2015'!B128)/'FY2015'!B128</f>
        <v>0.12770303921000573</v>
      </c>
      <c r="U135" s="38">
        <f>(C135-'FY2015'!C128)/'FY2015'!C128</f>
        <v>-0.11383862350302211</v>
      </c>
      <c r="V135" s="26"/>
    </row>
    <row r="136" spans="1:22" x14ac:dyDescent="0.2">
      <c r="A136" s="9">
        <v>42309</v>
      </c>
      <c r="B136" s="90">
        <f t="shared" si="8"/>
        <v>0.1402830911432621</v>
      </c>
      <c r="C136" s="90">
        <f t="shared" si="8"/>
        <v>2.6042697551472937E-2</v>
      </c>
      <c r="D136" s="92"/>
      <c r="E136" s="19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38">
        <f>(B136-'FY2015'!B129)/'FY2015'!B129</f>
        <v>7.7961678367922324E-2</v>
      </c>
      <c r="U136" s="38">
        <f>(C136-'FY2015'!C129)/'FY2015'!C129</f>
        <v>-0.12148850056818299</v>
      </c>
      <c r="V136" s="26"/>
    </row>
    <row r="137" spans="1:22" x14ac:dyDescent="0.2">
      <c r="A137" s="9">
        <v>42339</v>
      </c>
      <c r="B137" s="90">
        <f t="shared" si="8"/>
        <v>0.14418103543260002</v>
      </c>
      <c r="C137" s="90">
        <f t="shared" si="8"/>
        <v>2.818395048098785E-2</v>
      </c>
      <c r="D137" s="92"/>
      <c r="E137" s="19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38">
        <f>(B137-'FY2015'!B130)/'FY2015'!B130</f>
        <v>7.2823899772066561E-2</v>
      </c>
      <c r="U137" s="38">
        <f>(C137-'FY2015'!C130)/'FY2015'!C130</f>
        <v>-5.6201296676080183E-2</v>
      </c>
      <c r="V137" s="26"/>
    </row>
    <row r="138" spans="1:22" x14ac:dyDescent="0.2">
      <c r="A138" s="9">
        <v>42370</v>
      </c>
      <c r="B138" s="90">
        <f t="shared" si="8"/>
        <v>0.14064457090038698</v>
      </c>
      <c r="C138" s="90">
        <f t="shared" si="8"/>
        <v>2.6212448659308208E-2</v>
      </c>
      <c r="D138" s="92"/>
      <c r="E138" s="19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38">
        <f>(B138-'FY2015'!B131)/'FY2015'!B131</f>
        <v>3.5518789592154709E-2</v>
      </c>
      <c r="U138" s="38">
        <f>(C138-'FY2015'!C131)/'FY2015'!C131</f>
        <v>-0.11923144996409231</v>
      </c>
      <c r="V138" s="26"/>
    </row>
    <row r="139" spans="1:22" x14ac:dyDescent="0.2">
      <c r="A139" s="9">
        <v>42401</v>
      </c>
      <c r="B139" s="90">
        <f t="shared" si="8"/>
        <v>0.13727708019186338</v>
      </c>
      <c r="C139" s="90">
        <f t="shared" si="8"/>
        <v>2.6915460067154437E-2</v>
      </c>
      <c r="D139" s="92"/>
      <c r="E139" s="19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38">
        <f>(B139-'FY2015'!B132)/'FY2015'!B132</f>
        <v>-2.1827015692106294E-2</v>
      </c>
      <c r="U139" s="38">
        <f>(C139-'FY2015'!C132)/'FY2015'!C132</f>
        <v>4.2357476716098116E-2</v>
      </c>
      <c r="V139" s="26"/>
    </row>
    <row r="140" spans="1:22" x14ac:dyDescent="0.2">
      <c r="A140" s="9">
        <v>42430</v>
      </c>
      <c r="B140" s="90">
        <f t="shared" si="8"/>
        <v>0.1347994425455557</v>
      </c>
      <c r="C140" s="90">
        <f t="shared" si="8"/>
        <v>2.6911254445752871E-2</v>
      </c>
      <c r="D140" s="92"/>
      <c r="E140" s="19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38">
        <f>(B140-'FY2015'!B133)/'FY2015'!B133</f>
        <v>4.6893890720463142E-4</v>
      </c>
      <c r="U140" s="38">
        <f>(C140-'FY2015'!C133)/'FY2015'!C133</f>
        <v>-6.1896306581723341E-2</v>
      </c>
      <c r="V140" s="26"/>
    </row>
    <row r="141" spans="1:22" x14ac:dyDescent="0.2">
      <c r="A141" s="9">
        <v>42461</v>
      </c>
      <c r="B141" s="90">
        <f t="shared" si="8"/>
        <v>0.1441132338897386</v>
      </c>
      <c r="C141" s="90">
        <f t="shared" si="8"/>
        <v>2.7871696313809834E-2</v>
      </c>
      <c r="D141" s="92"/>
      <c r="E141" s="19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38">
        <f>(B141-'FY2015'!B134)/'FY2015'!B134</f>
        <v>5.3789107159137255E-2</v>
      </c>
      <c r="U141" s="38">
        <f>(C141-'FY2015'!C134)/'FY2015'!C134</f>
        <v>3.4339007962987532E-3</v>
      </c>
      <c r="V141" s="26"/>
    </row>
    <row r="142" spans="1:22" x14ac:dyDescent="0.2">
      <c r="A142" s="9">
        <v>42491</v>
      </c>
      <c r="B142" s="90">
        <f t="shared" si="8"/>
        <v>0.14015621867176892</v>
      </c>
      <c r="C142" s="90">
        <f t="shared" si="8"/>
        <v>2.6373986895112604E-2</v>
      </c>
      <c r="D142" s="92"/>
      <c r="E142" s="19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38">
        <f>(B142-'FY2015'!B135)/'FY2015'!B135</f>
        <v>7.7452996052571445E-3</v>
      </c>
      <c r="U142" s="38">
        <f>(C142-'FY2015'!C135)/'FY2015'!C135</f>
        <v>-3.3931377321106723E-2</v>
      </c>
      <c r="V142" s="26"/>
    </row>
    <row r="143" spans="1:22" x14ac:dyDescent="0.2">
      <c r="A143" s="9">
        <v>42522</v>
      </c>
      <c r="B143" s="90">
        <f t="shared" si="8"/>
        <v>0.14329047987913876</v>
      </c>
      <c r="C143" s="90">
        <f t="shared" si="8"/>
        <v>2.8458724457374161E-2</v>
      </c>
      <c r="D143" s="92"/>
      <c r="E143" s="19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38">
        <f>(B143-'FY2015'!B136)/'FY2015'!B136</f>
        <v>2.3652366992588346E-2</v>
      </c>
      <c r="U143" s="38">
        <f>(C143-'FY2015'!C136)/'FY2015'!C136</f>
        <v>9.7928010589721157E-3</v>
      </c>
      <c r="V143" s="26"/>
    </row>
    <row r="144" spans="1:22" x14ac:dyDescent="0.2">
      <c r="A144" s="9">
        <v>42552</v>
      </c>
      <c r="B144" s="90">
        <f t="shared" si="8"/>
        <v>0.14536762653863014</v>
      </c>
      <c r="C144" s="90">
        <f t="shared" si="8"/>
        <v>2.7047010702193851E-2</v>
      </c>
      <c r="D144" s="92"/>
      <c r="E144" s="19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38">
        <f>(B144-'FY2015'!B137)/'FY2015'!B137</f>
        <v>7.5593681035740504E-2</v>
      </c>
      <c r="U144" s="38">
        <f>(C144-'FY2015'!C137)/'FY2015'!C137</f>
        <v>-7.3768831758005818E-2</v>
      </c>
      <c r="V144" s="26"/>
    </row>
    <row r="145" spans="1:22" x14ac:dyDescent="0.2">
      <c r="A145" s="9">
        <v>42583</v>
      </c>
      <c r="B145" s="90">
        <f t="shared" si="8"/>
        <v>0.145500855270564</v>
      </c>
      <c r="C145" s="90">
        <f t="shared" si="8"/>
        <v>2.7043101583059656E-2</v>
      </c>
      <c r="D145" s="92"/>
      <c r="E145" s="19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38">
        <f>(B145-'FY2015'!B138)/'FY2015'!B138</f>
        <v>2.0530203757450523E-2</v>
      </c>
      <c r="U145" s="38">
        <f>(C145-'FY2015'!C138)/'FY2015'!C138</f>
        <v>2.7854640926395304E-2</v>
      </c>
      <c r="V145" s="26"/>
    </row>
    <row r="146" spans="1:22" x14ac:dyDescent="0.2">
      <c r="A146" s="9">
        <v>42614</v>
      </c>
      <c r="B146" s="90">
        <f t="shared" si="8"/>
        <v>0.15260980634579038</v>
      </c>
      <c r="C146" s="90">
        <f t="shared" si="8"/>
        <v>2.9648764051793227E-2</v>
      </c>
      <c r="D146" s="92"/>
      <c r="E146" s="19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38">
        <f>(B146-'FY2015'!B139)/'FY2015'!B139</f>
        <v>6.9306649530869679E-2</v>
      </c>
      <c r="U146" s="38">
        <f>(C146-'FY2015'!C139)/'FY2015'!C139</f>
        <v>2.1648162744951849E-2</v>
      </c>
      <c r="V146" s="26"/>
    </row>
    <row r="147" spans="1:22" x14ac:dyDescent="0.2">
      <c r="A147" s="108" t="s">
        <v>153</v>
      </c>
      <c r="B147" s="91">
        <f>AVERAGE(B135:B146)</f>
        <v>0.1429824507060857</v>
      </c>
      <c r="C147" s="104">
        <f>AVERAGE(C135:C146)</f>
        <v>2.7324991507698852E-2</v>
      </c>
      <c r="D147" s="93"/>
      <c r="E147" s="19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39">
        <f>AVERAGE(T135:T146)</f>
        <v>4.527221985319093E-2</v>
      </c>
      <c r="U147" s="39">
        <f>AVERAGE(U135:U146)</f>
        <v>-3.9605783677458116E-2</v>
      </c>
      <c r="V147" s="23"/>
    </row>
    <row r="148" spans="1:22" x14ac:dyDescent="0.2">
      <c r="A148" s="59" t="s">
        <v>115</v>
      </c>
      <c r="B148" s="21"/>
      <c r="C148" s="21"/>
      <c r="D148" s="21"/>
      <c r="E148" s="21"/>
    </row>
    <row r="149" spans="1:22" s="175" customFormat="1" x14ac:dyDescent="0.2">
      <c r="A149" s="59"/>
      <c r="B149" s="21"/>
      <c r="C149" s="21"/>
      <c r="D149" s="21"/>
      <c r="E149" s="21"/>
    </row>
    <row r="150" spans="1:22" s="175" customFormat="1" x14ac:dyDescent="0.2">
      <c r="A150" s="19"/>
      <c r="B150" s="208" t="s">
        <v>152</v>
      </c>
      <c r="C150" s="208"/>
      <c r="D150" s="210"/>
      <c r="E150" s="21"/>
    </row>
    <row r="151" spans="1:22" s="175" customFormat="1" x14ac:dyDescent="0.2">
      <c r="A151" s="173" t="s">
        <v>1</v>
      </c>
      <c r="B151" s="173" t="s">
        <v>56</v>
      </c>
      <c r="C151" s="173" t="s">
        <v>3</v>
      </c>
      <c r="D151" s="94"/>
      <c r="E151" s="21"/>
    </row>
    <row r="152" spans="1:22" s="175" customFormat="1" x14ac:dyDescent="0.2">
      <c r="A152" s="9">
        <v>42278</v>
      </c>
      <c r="B152" s="177">
        <v>1.8660000000000001</v>
      </c>
      <c r="C152" s="177">
        <v>0.3</v>
      </c>
      <c r="D152" s="92"/>
      <c r="E152" s="21"/>
    </row>
    <row r="153" spans="1:22" s="175" customFormat="1" x14ac:dyDescent="0.2">
      <c r="A153" s="9">
        <v>42309</v>
      </c>
      <c r="B153" s="177">
        <v>1.865</v>
      </c>
      <c r="C153" s="177">
        <v>0.28899999999999998</v>
      </c>
      <c r="D153" s="92"/>
      <c r="E153" s="21"/>
    </row>
    <row r="154" spans="1:22" s="175" customFormat="1" x14ac:dyDescent="0.2">
      <c r="A154" s="9">
        <v>42339</v>
      </c>
      <c r="B154" s="177">
        <v>1.9750000000000001</v>
      </c>
      <c r="C154" s="177">
        <v>0.308</v>
      </c>
      <c r="D154" s="92"/>
      <c r="E154" s="21"/>
    </row>
    <row r="155" spans="1:22" s="175" customFormat="1" x14ac:dyDescent="0.2">
      <c r="A155" s="9">
        <v>42370</v>
      </c>
      <c r="B155" s="177">
        <v>1.853</v>
      </c>
      <c r="C155" s="177">
        <v>0.29199999999999998</v>
      </c>
      <c r="D155" s="92"/>
      <c r="E155" s="21"/>
    </row>
    <row r="156" spans="1:22" s="175" customFormat="1" x14ac:dyDescent="0.2">
      <c r="A156" s="9">
        <v>42401</v>
      </c>
      <c r="B156" s="177">
        <v>1.764</v>
      </c>
      <c r="C156" s="177">
        <v>0.29299999999999998</v>
      </c>
      <c r="D156" s="92"/>
      <c r="E156" s="21"/>
    </row>
    <row r="157" spans="1:22" s="175" customFormat="1" x14ac:dyDescent="0.2">
      <c r="A157" s="9">
        <v>42430</v>
      </c>
      <c r="B157" s="177">
        <v>1.7509999999999999</v>
      </c>
      <c r="C157" s="177">
        <v>0.3</v>
      </c>
      <c r="D157" s="92"/>
      <c r="E157" s="21"/>
    </row>
    <row r="158" spans="1:22" s="175" customFormat="1" x14ac:dyDescent="0.2">
      <c r="A158" s="9">
        <v>42461</v>
      </c>
      <c r="B158" s="177">
        <v>1.881</v>
      </c>
      <c r="C158" s="177">
        <v>0.29699999999999999</v>
      </c>
      <c r="D158" s="92"/>
      <c r="E158" s="21"/>
    </row>
    <row r="159" spans="1:22" s="175" customFormat="1" x14ac:dyDescent="0.2">
      <c r="A159" s="9">
        <v>42491</v>
      </c>
      <c r="B159" s="177">
        <v>1.8169999999999999</v>
      </c>
      <c r="C159" s="177">
        <v>0.28699999999999998</v>
      </c>
      <c r="D159" s="92"/>
      <c r="E159" s="21"/>
    </row>
    <row r="160" spans="1:22" s="175" customFormat="1" x14ac:dyDescent="0.2">
      <c r="A160" s="9">
        <v>42522</v>
      </c>
      <c r="B160" s="177">
        <v>1.855</v>
      </c>
      <c r="C160" s="177">
        <v>0.29399999999999998</v>
      </c>
      <c r="D160" s="92"/>
      <c r="E160" s="21"/>
    </row>
    <row r="161" spans="1:22" s="175" customFormat="1" x14ac:dyDescent="0.2">
      <c r="A161" s="9">
        <v>42552</v>
      </c>
      <c r="B161" s="178">
        <f t="shared" ref="B161:C163" si="9">B127+B144+0.005</f>
        <v>1.8188429403826962</v>
      </c>
      <c r="C161" s="178">
        <f t="shared" si="9"/>
        <v>0.29328104805425087</v>
      </c>
      <c r="D161" s="92"/>
      <c r="E161" s="21"/>
    </row>
    <row r="162" spans="1:22" x14ac:dyDescent="0.2">
      <c r="A162" s="9">
        <v>42583</v>
      </c>
      <c r="B162" s="178">
        <f t="shared" si="9"/>
        <v>1.8173291630913617</v>
      </c>
      <c r="C162" s="178">
        <f t="shared" si="9"/>
        <v>0.29128846442315204</v>
      </c>
      <c r="D162" s="92"/>
      <c r="E162" s="21"/>
    </row>
    <row r="163" spans="1:22" s="175" customFormat="1" x14ac:dyDescent="0.2">
      <c r="A163" s="9">
        <v>42614</v>
      </c>
      <c r="B163" s="178">
        <f t="shared" si="9"/>
        <v>1.9334447146675873</v>
      </c>
      <c r="C163" s="178">
        <f t="shared" si="9"/>
        <v>0.29821872999775562</v>
      </c>
      <c r="D163" s="92"/>
      <c r="E163" s="21"/>
    </row>
    <row r="164" spans="1:22" s="175" customFormat="1" x14ac:dyDescent="0.2">
      <c r="A164" s="108" t="s">
        <v>153</v>
      </c>
      <c r="B164" s="91">
        <f>AVERAGE(B152:B163)</f>
        <v>1.8497180681784704</v>
      </c>
      <c r="C164" s="91">
        <f>AVERAGE(C152:C163)</f>
        <v>0.29523235353959654</v>
      </c>
      <c r="D164" s="93"/>
      <c r="E164" s="21"/>
    </row>
    <row r="165" spans="1:22" s="175" customFormat="1" x14ac:dyDescent="0.2">
      <c r="A165" s="176" t="s">
        <v>154</v>
      </c>
      <c r="B165" s="21"/>
      <c r="C165" s="21"/>
      <c r="D165" s="21"/>
      <c r="E165" s="21"/>
    </row>
    <row r="166" spans="1:22" ht="15.75" x14ac:dyDescent="0.25">
      <c r="A166" s="207" t="s">
        <v>14</v>
      </c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</row>
    <row r="168" spans="1:22" x14ac:dyDescent="0.2">
      <c r="A168" s="5"/>
      <c r="B168" s="202" t="s">
        <v>16</v>
      </c>
      <c r="C168" s="202"/>
      <c r="D168" s="202"/>
      <c r="T168" s="203" t="s">
        <v>14</v>
      </c>
      <c r="U168" s="203"/>
      <c r="V168" s="203"/>
    </row>
    <row r="169" spans="1:22" ht="24" x14ac:dyDescent="0.2">
      <c r="A169" s="163" t="s">
        <v>1</v>
      </c>
      <c r="B169" s="37" t="s">
        <v>27</v>
      </c>
      <c r="C169" s="37" t="s">
        <v>26</v>
      </c>
      <c r="D169" s="37" t="s">
        <v>25</v>
      </c>
      <c r="T169" s="8" t="s">
        <v>18</v>
      </c>
      <c r="U169" s="8" t="s">
        <v>19</v>
      </c>
      <c r="V169" s="8" t="s">
        <v>11</v>
      </c>
    </row>
    <row r="170" spans="1:22" x14ac:dyDescent="0.2">
      <c r="A170" s="9">
        <v>42278</v>
      </c>
      <c r="B170" s="10">
        <v>8</v>
      </c>
      <c r="C170" s="10">
        <v>3</v>
      </c>
      <c r="D170" s="10">
        <v>11</v>
      </c>
      <c r="T170" s="38">
        <f>(B170-'FY2015'!B147)/'FY2015'!B147</f>
        <v>0.6</v>
      </c>
      <c r="U170" s="38">
        <f>(C170-'FY2015'!C147)/'FY2015'!C147</f>
        <v>-0.82352941176470584</v>
      </c>
      <c r="V170" s="38">
        <f>(D170-'FY2015'!D147)/'FY2015'!D147</f>
        <v>-0.52173913043478259</v>
      </c>
    </row>
    <row r="171" spans="1:22" x14ac:dyDescent="0.2">
      <c r="A171" s="9">
        <v>42309</v>
      </c>
      <c r="B171" s="10">
        <v>2</v>
      </c>
      <c r="C171" s="10">
        <v>0</v>
      </c>
      <c r="D171" s="10">
        <v>2</v>
      </c>
      <c r="T171" s="38">
        <f>(B171-'FY2015'!B148)/'FY2015'!B148</f>
        <v>-0.33333333333333331</v>
      </c>
      <c r="U171" s="38">
        <f>(C171-'FY2015'!C148)/'FY2015'!C148</f>
        <v>-1</v>
      </c>
      <c r="V171" s="38">
        <f>(D171-'FY2015'!D148)/'FY2015'!D148</f>
        <v>-0.96491228070175439</v>
      </c>
    </row>
    <row r="172" spans="1:22" x14ac:dyDescent="0.2">
      <c r="A172" s="9">
        <v>42339</v>
      </c>
      <c r="B172" s="10">
        <v>6</v>
      </c>
      <c r="C172" s="10">
        <v>2</v>
      </c>
      <c r="D172" s="10">
        <v>8</v>
      </c>
      <c r="T172" s="38">
        <f>(B172-'FY2015'!B149)/'FY2015'!B149</f>
        <v>5</v>
      </c>
      <c r="U172" s="38">
        <f>(C172-'FY2015'!C149)/'FY2015'!C149</f>
        <v>-0.7142857142857143</v>
      </c>
      <c r="V172" s="38">
        <f>(D172-'FY2015'!D149)/'FY2015'!D149</f>
        <v>0</v>
      </c>
    </row>
    <row r="173" spans="1:22" x14ac:dyDescent="0.2">
      <c r="A173" s="9">
        <v>42370</v>
      </c>
      <c r="B173" s="10">
        <v>5</v>
      </c>
      <c r="C173" s="10">
        <v>3</v>
      </c>
      <c r="D173" s="10">
        <v>8</v>
      </c>
      <c r="T173" s="38">
        <f>(B173-'FY2015'!B150)/'FY2015'!B150</f>
        <v>-0.16666666666666666</v>
      </c>
      <c r="U173" s="38">
        <f>(C173-'FY2015'!C150)/'FY2015'!C150</f>
        <v>-0.25</v>
      </c>
      <c r="V173" s="38">
        <f>(D173-'FY2015'!D150)/'FY2015'!D150</f>
        <v>-0.2</v>
      </c>
    </row>
    <row r="174" spans="1:22" x14ac:dyDescent="0.2">
      <c r="A174" s="9">
        <v>42401</v>
      </c>
      <c r="B174" s="10">
        <v>4</v>
      </c>
      <c r="C174" s="10">
        <v>5</v>
      </c>
      <c r="D174" s="10">
        <v>9</v>
      </c>
      <c r="T174" s="38">
        <f>(B174-'FY2015'!B151)/'FY2015'!B151</f>
        <v>1</v>
      </c>
      <c r="U174" s="38" t="e">
        <f>(C174-'FY2015'!C151)/'FY2015'!C151</f>
        <v>#DIV/0!</v>
      </c>
      <c r="V174" s="38">
        <f>(D174-'FY2015'!D151)/'FY2015'!D151</f>
        <v>3.5</v>
      </c>
    </row>
    <row r="175" spans="1:22" x14ac:dyDescent="0.2">
      <c r="A175" s="9">
        <v>42430</v>
      </c>
      <c r="B175" s="10">
        <v>7</v>
      </c>
      <c r="C175" s="10">
        <v>7</v>
      </c>
      <c r="D175" s="10">
        <v>16</v>
      </c>
      <c r="T175" s="38">
        <f>(B175-'FY2015'!B152)/'FY2015'!B152</f>
        <v>2.5</v>
      </c>
      <c r="U175" s="38">
        <f>(C175-'FY2015'!C152)/'FY2015'!C152</f>
        <v>2.5</v>
      </c>
      <c r="V175" s="38">
        <f>(D175-'FY2015'!D152)/'FY2015'!D152</f>
        <v>3</v>
      </c>
    </row>
    <row r="176" spans="1:22" x14ac:dyDescent="0.2">
      <c r="A176" s="9">
        <v>42461</v>
      </c>
      <c r="B176" s="10">
        <v>5</v>
      </c>
      <c r="C176" s="10">
        <v>0</v>
      </c>
      <c r="D176" s="10">
        <v>5</v>
      </c>
      <c r="T176" s="38">
        <f>(B176-'FY2015'!B153)/'FY2015'!B153</f>
        <v>0.66666666666666663</v>
      </c>
      <c r="U176" s="38" t="e">
        <f>(C176-'FY2015'!C153)/'FY2015'!C153</f>
        <v>#DIV/0!</v>
      </c>
      <c r="V176" s="38">
        <f>(D176-'FY2015'!D153)/'FY2015'!D153</f>
        <v>0.66666666666666663</v>
      </c>
    </row>
    <row r="177" spans="1:22" x14ac:dyDescent="0.2">
      <c r="A177" s="9">
        <v>42491</v>
      </c>
      <c r="B177" s="10">
        <v>13</v>
      </c>
      <c r="C177" s="10">
        <v>0</v>
      </c>
      <c r="D177" s="10">
        <v>13</v>
      </c>
      <c r="T177" s="38">
        <f>(B177-'FY2015'!B154)/'FY2015'!B154</f>
        <v>8.3333333333333329E-2</v>
      </c>
      <c r="U177" s="38" t="e">
        <f>(C177-'FY2015'!C154)/'FY2015'!C154</f>
        <v>#DIV/0!</v>
      </c>
      <c r="V177" s="38">
        <f>(D177-'FY2015'!D154)/'FY2015'!D154</f>
        <v>8.3333333333333329E-2</v>
      </c>
    </row>
    <row r="178" spans="1:22" x14ac:dyDescent="0.2">
      <c r="A178" s="9">
        <v>42522</v>
      </c>
      <c r="B178" s="10">
        <v>7</v>
      </c>
      <c r="C178" s="10">
        <v>2</v>
      </c>
      <c r="D178" s="10">
        <v>9</v>
      </c>
      <c r="T178" s="38">
        <f>(B178-'FY2015'!B155)/'FY2015'!B155</f>
        <v>-0.61111111111111116</v>
      </c>
      <c r="U178" s="38">
        <f>(C178-'FY2015'!C155)/'FY2015'!C155</f>
        <v>1</v>
      </c>
      <c r="V178" s="38">
        <f>(D178-'FY2015'!D155)/'FY2015'!D155</f>
        <v>-0.52631578947368418</v>
      </c>
    </row>
    <row r="179" spans="1:22" x14ac:dyDescent="0.2">
      <c r="A179" s="9">
        <v>42552</v>
      </c>
      <c r="B179" s="10">
        <v>0</v>
      </c>
      <c r="C179" s="10">
        <v>0</v>
      </c>
      <c r="D179" s="10">
        <v>0</v>
      </c>
      <c r="T179" s="38">
        <f>(B179-'FY2015'!B156)/'FY2015'!B156</f>
        <v>-1</v>
      </c>
      <c r="U179" s="38" t="e">
        <f>(C179-'FY2015'!C156)/'FY2015'!C156</f>
        <v>#DIV/0!</v>
      </c>
      <c r="V179" s="38">
        <f>(D179-'FY2015'!D156)/'FY2015'!D156</f>
        <v>-1</v>
      </c>
    </row>
    <row r="180" spans="1:22" x14ac:dyDescent="0.2">
      <c r="A180" s="9">
        <v>42583</v>
      </c>
      <c r="B180" s="10">
        <v>2</v>
      </c>
      <c r="C180" s="10">
        <v>10</v>
      </c>
      <c r="D180" s="10">
        <v>9</v>
      </c>
      <c r="T180" s="38">
        <f>(B180-'FY2015'!B157)/'FY2015'!B157</f>
        <v>-0.6</v>
      </c>
      <c r="U180" s="38" t="e">
        <f>(C180-'FY2015'!C157)/'FY2015'!C157</f>
        <v>#DIV/0!</v>
      </c>
      <c r="V180" s="38">
        <f>(D180-'FY2015'!D157)/'FY2015'!D157</f>
        <v>0.8</v>
      </c>
    </row>
    <row r="181" spans="1:22" x14ac:dyDescent="0.2">
      <c r="A181" s="9">
        <v>42614</v>
      </c>
      <c r="B181" s="10">
        <v>6</v>
      </c>
      <c r="C181" s="10">
        <v>0</v>
      </c>
      <c r="D181" s="10">
        <v>6</v>
      </c>
      <c r="T181" s="38">
        <f>(B181-'FY2015'!B158)/'FY2015'!B158</f>
        <v>-0.33333333333333331</v>
      </c>
      <c r="U181" s="38" t="e">
        <f>(C181-'FY2015'!C158)/'FY2015'!C158</f>
        <v>#DIV/0!</v>
      </c>
      <c r="V181" s="38">
        <f>(D181-'FY2015'!D158)/'FY2015'!D158</f>
        <v>-0.33333333333333331</v>
      </c>
    </row>
    <row r="182" spans="1:22" x14ac:dyDescent="0.2">
      <c r="A182" s="108" t="s">
        <v>124</v>
      </c>
      <c r="B182" s="11">
        <f>SUM(B170:B181)</f>
        <v>65</v>
      </c>
      <c r="C182" s="11">
        <f>SUM(C170:C181)</f>
        <v>32</v>
      </c>
      <c r="D182" s="11">
        <f>SUM(D170:D181)</f>
        <v>96</v>
      </c>
      <c r="T182" s="39">
        <f>AVERAGE(T170:T181)</f>
        <v>0.56712962962962965</v>
      </c>
      <c r="U182" s="39" t="e">
        <f>AVERAGE(U170:U181)</f>
        <v>#DIV/0!</v>
      </c>
      <c r="V182" s="39">
        <f>AVERAGE(V170:V181)</f>
        <v>0.37530828883803719</v>
      </c>
    </row>
    <row r="185" spans="1:22" x14ac:dyDescent="0.2">
      <c r="A185" s="5"/>
      <c r="B185" s="212" t="s">
        <v>39</v>
      </c>
      <c r="C185" s="213"/>
      <c r="D185" s="214"/>
      <c r="T185" s="215" t="s">
        <v>33</v>
      </c>
      <c r="U185" s="216"/>
      <c r="V185" s="217"/>
    </row>
    <row r="186" spans="1:22" ht="24" x14ac:dyDescent="0.2">
      <c r="A186" s="163" t="s">
        <v>1</v>
      </c>
      <c r="B186" s="37" t="s">
        <v>32</v>
      </c>
      <c r="C186" s="52"/>
      <c r="D186" s="52"/>
      <c r="T186" s="8" t="s">
        <v>18</v>
      </c>
      <c r="U186" s="54"/>
      <c r="V186" s="54"/>
    </row>
    <row r="187" spans="1:22" x14ac:dyDescent="0.2">
      <c r="A187" s="9">
        <v>42278</v>
      </c>
      <c r="B187" s="58">
        <v>8618</v>
      </c>
      <c r="C187" s="53"/>
      <c r="D187" s="53"/>
      <c r="T187" s="38">
        <f>(B187-'FY2015'!B164)/'FY2015'!B164</f>
        <v>-0.13247433058184013</v>
      </c>
      <c r="U187" s="55"/>
      <c r="V187" s="55"/>
    </row>
    <row r="188" spans="1:22" x14ac:dyDescent="0.2">
      <c r="A188" s="9">
        <v>42309</v>
      </c>
      <c r="B188" s="58">
        <v>8665</v>
      </c>
      <c r="C188" s="53"/>
      <c r="D188" s="53"/>
      <c r="T188" s="38">
        <f>(B188-'FY2015'!B165)/'FY2015'!B165</f>
        <v>-9.4755536982866692E-2</v>
      </c>
      <c r="U188" s="55"/>
      <c r="V188" s="55"/>
    </row>
    <row r="189" spans="1:22" x14ac:dyDescent="0.2">
      <c r="A189" s="9">
        <v>42339</v>
      </c>
      <c r="B189" s="58">
        <v>8671</v>
      </c>
      <c r="C189" s="53"/>
      <c r="D189" s="53"/>
      <c r="T189" s="38">
        <f>(B189-'FY2015'!B166)/'FY2015'!B166</f>
        <v>-9.5451700396411432E-2</v>
      </c>
      <c r="U189" s="55"/>
      <c r="V189" s="55"/>
    </row>
    <row r="190" spans="1:22" x14ac:dyDescent="0.2">
      <c r="A190" s="9">
        <v>42370</v>
      </c>
      <c r="B190" s="58">
        <v>8718</v>
      </c>
      <c r="C190" s="53"/>
      <c r="D190" s="53"/>
      <c r="T190" s="38">
        <f>(B190-'FY2015'!B167)/'FY2015'!B167</f>
        <v>-8.4724409448818899E-2</v>
      </c>
      <c r="U190" s="55"/>
      <c r="V190" s="55"/>
    </row>
    <row r="191" spans="1:22" x14ac:dyDescent="0.2">
      <c r="A191" s="9">
        <v>42401</v>
      </c>
      <c r="B191" s="58">
        <v>9565</v>
      </c>
      <c r="C191" s="53"/>
      <c r="D191" s="53"/>
      <c r="T191" s="38">
        <f>(B191-'FY2015'!B168)/'FY2015'!B168</f>
        <v>1.08856478545762E-2</v>
      </c>
      <c r="U191" s="55"/>
      <c r="V191" s="55"/>
    </row>
    <row r="192" spans="1:22" x14ac:dyDescent="0.2">
      <c r="A192" s="9">
        <v>42430</v>
      </c>
      <c r="B192" s="58">
        <v>9801</v>
      </c>
      <c r="C192" s="53"/>
      <c r="D192" s="53"/>
      <c r="T192" s="38">
        <f>(B192-'FY2015'!B169)/'FY2015'!B169</f>
        <v>3.2880177047107176E-2</v>
      </c>
      <c r="U192" s="55"/>
      <c r="V192" s="55"/>
    </row>
    <row r="193" spans="1:22" x14ac:dyDescent="0.2">
      <c r="A193" s="9">
        <v>42461</v>
      </c>
      <c r="B193" s="58">
        <v>9903</v>
      </c>
      <c r="C193" s="53"/>
      <c r="D193" s="53"/>
      <c r="T193" s="38">
        <f>(B193-'FY2015'!B170)/'FY2015'!B170</f>
        <v>3.1777453636174201E-2</v>
      </c>
      <c r="U193" s="55"/>
      <c r="V193" s="55"/>
    </row>
    <row r="194" spans="1:22" x14ac:dyDescent="0.2">
      <c r="A194" s="9">
        <v>42491</v>
      </c>
      <c r="B194" s="58">
        <v>9955</v>
      </c>
      <c r="C194" s="53"/>
      <c r="D194" s="53"/>
      <c r="T194" s="38">
        <f>(B194-'FY2015'!B171)/'FY2015'!B171</f>
        <v>4.2845170752147499E-2</v>
      </c>
      <c r="U194" s="55"/>
      <c r="V194" s="55"/>
    </row>
    <row r="195" spans="1:22" x14ac:dyDescent="0.2">
      <c r="A195" s="9">
        <v>42522</v>
      </c>
      <c r="B195" s="58">
        <v>9940</v>
      </c>
      <c r="C195" s="53"/>
      <c r="D195" s="53"/>
      <c r="T195" s="38">
        <f>(B195-'FY2015'!B172)/'FY2015'!B172</f>
        <v>2.6329375322663912E-2</v>
      </c>
      <c r="U195" s="55"/>
      <c r="V195" s="55"/>
    </row>
    <row r="196" spans="1:22" x14ac:dyDescent="0.2">
      <c r="A196" s="9">
        <v>42552</v>
      </c>
      <c r="B196" s="58">
        <v>9974</v>
      </c>
      <c r="C196" s="53"/>
      <c r="D196" s="53"/>
      <c r="T196" s="38">
        <f>(B196-'FY2015'!B173)/'FY2015'!B173</f>
        <v>-5.4840961212483793E-3</v>
      </c>
      <c r="U196" s="55"/>
      <c r="V196" s="55"/>
    </row>
    <row r="197" spans="1:22" x14ac:dyDescent="0.2">
      <c r="A197" s="9">
        <v>42583</v>
      </c>
      <c r="B197" s="58">
        <v>10174</v>
      </c>
      <c r="C197" s="53"/>
      <c r="D197" s="53"/>
      <c r="T197" s="38">
        <f>(B197-'FY2015'!B174)/'FY2015'!B174</f>
        <v>-3.5091047040971171E-2</v>
      </c>
      <c r="U197" s="55"/>
      <c r="V197" s="55"/>
    </row>
    <row r="198" spans="1:22" x14ac:dyDescent="0.2">
      <c r="A198" s="9">
        <v>42614</v>
      </c>
      <c r="B198" s="58">
        <v>10163</v>
      </c>
      <c r="C198" s="53"/>
      <c r="D198" s="53"/>
      <c r="T198" s="38"/>
      <c r="U198" s="55"/>
      <c r="V198" s="55"/>
    </row>
    <row r="199" spans="1:22" x14ac:dyDescent="0.2">
      <c r="A199" s="63" t="s">
        <v>125</v>
      </c>
      <c r="B199" s="63">
        <f>AVERAGE(B187:B198)</f>
        <v>9512.25</v>
      </c>
      <c r="C199" s="53"/>
      <c r="D199" s="53"/>
      <c r="T199" s="39">
        <f>AVERAGE(T187:T198)</f>
        <v>-2.7569390541771613E-2</v>
      </c>
      <c r="U199" s="55"/>
      <c r="V199" s="55"/>
    </row>
    <row r="200" spans="1:22" x14ac:dyDescent="0.2">
      <c r="A200" s="77"/>
      <c r="B200" s="77"/>
      <c r="C200" s="83"/>
      <c r="D200" s="83"/>
      <c r="T200" s="51"/>
      <c r="U200" s="50"/>
      <c r="V200" s="50"/>
    </row>
    <row r="201" spans="1:22" s="175" customFormat="1" x14ac:dyDescent="0.2">
      <c r="A201" s="77"/>
      <c r="B201" s="77"/>
      <c r="C201" s="83"/>
      <c r="D201" s="83"/>
      <c r="T201" s="51"/>
      <c r="U201" s="50"/>
      <c r="V201" s="50"/>
    </row>
    <row r="202" spans="1:22" s="175" customFormat="1" x14ac:dyDescent="0.2">
      <c r="A202" s="77"/>
      <c r="B202" s="77"/>
      <c r="C202" s="83"/>
      <c r="D202" s="83"/>
      <c r="T202" s="51"/>
      <c r="U202" s="50"/>
      <c r="V202" s="50"/>
    </row>
    <row r="203" spans="1:22" s="175" customFormat="1" x14ac:dyDescent="0.2">
      <c r="A203" s="77"/>
      <c r="B203" s="77"/>
      <c r="C203" s="83"/>
      <c r="D203" s="83"/>
      <c r="T203" s="51"/>
      <c r="U203" s="50"/>
      <c r="V203" s="50"/>
    </row>
    <row r="204" spans="1:22" s="175" customFormat="1" x14ac:dyDescent="0.2">
      <c r="A204" s="77"/>
      <c r="B204" s="77"/>
      <c r="C204" s="83"/>
      <c r="D204" s="83"/>
      <c r="T204" s="51"/>
      <c r="U204" s="50"/>
      <c r="V204" s="50"/>
    </row>
    <row r="205" spans="1:22" s="175" customFormat="1" x14ac:dyDescent="0.2">
      <c r="A205" s="77"/>
      <c r="B205" s="77"/>
      <c r="C205" s="83"/>
      <c r="D205" s="83"/>
      <c r="T205" s="51"/>
      <c r="U205" s="50"/>
      <c r="V205" s="50"/>
    </row>
    <row r="206" spans="1:22" s="175" customFormat="1" x14ac:dyDescent="0.2">
      <c r="A206" s="77"/>
      <c r="B206" s="77"/>
      <c r="C206" s="83"/>
      <c r="D206" s="83"/>
      <c r="T206" s="51"/>
      <c r="U206" s="50"/>
      <c r="V206" s="50"/>
    </row>
    <row r="207" spans="1:22" s="175" customFormat="1" x14ac:dyDescent="0.2">
      <c r="A207" s="77"/>
      <c r="B207" s="77"/>
      <c r="C207" s="83"/>
      <c r="D207" s="83"/>
      <c r="T207" s="51"/>
      <c r="U207" s="50"/>
      <c r="V207" s="50"/>
    </row>
    <row r="208" spans="1:22" s="175" customFormat="1" x14ac:dyDescent="0.2">
      <c r="A208" s="77"/>
      <c r="B208" s="77"/>
      <c r="C208" s="83"/>
      <c r="D208" s="83"/>
      <c r="T208" s="51"/>
      <c r="U208" s="50"/>
      <c r="V208" s="50"/>
    </row>
    <row r="209" spans="1:22" s="175" customFormat="1" x14ac:dyDescent="0.2">
      <c r="A209" s="77"/>
      <c r="B209" s="77"/>
      <c r="C209" s="83"/>
      <c r="D209" s="83"/>
      <c r="T209" s="51"/>
      <c r="U209" s="50"/>
      <c r="V209" s="50"/>
    </row>
    <row r="211" spans="1:22" ht="15.75" x14ac:dyDescent="0.25">
      <c r="A211" s="207" t="s">
        <v>49</v>
      </c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5"/>
      <c r="T211" s="205"/>
      <c r="U211" s="205"/>
      <c r="V211" s="205"/>
    </row>
    <row r="212" spans="1:22" ht="15.75" x14ac:dyDescent="0.25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59"/>
      <c r="T212" s="159"/>
      <c r="U212" s="159"/>
      <c r="V212" s="159"/>
    </row>
    <row r="213" spans="1:22" x14ac:dyDescent="0.2">
      <c r="A213" s="5"/>
      <c r="B213" s="212" t="s">
        <v>40</v>
      </c>
      <c r="C213" s="213"/>
      <c r="D213" s="214"/>
      <c r="T213" s="212" t="s">
        <v>40</v>
      </c>
      <c r="U213" s="213"/>
      <c r="V213" s="214"/>
    </row>
    <row r="214" spans="1:22" ht="24" x14ac:dyDescent="0.2">
      <c r="A214" s="163" t="s">
        <v>1</v>
      </c>
      <c r="B214" s="37" t="s">
        <v>41</v>
      </c>
      <c r="C214" s="64" t="s">
        <v>42</v>
      </c>
      <c r="D214" s="64" t="s">
        <v>43</v>
      </c>
      <c r="T214" s="8" t="s">
        <v>72</v>
      </c>
      <c r="U214" s="8" t="s">
        <v>73</v>
      </c>
      <c r="V214" s="54"/>
    </row>
    <row r="215" spans="1:22" x14ac:dyDescent="0.2">
      <c r="A215" s="9">
        <v>42278</v>
      </c>
      <c r="B215" s="58">
        <v>707</v>
      </c>
      <c r="C215" s="43">
        <v>302267.84999999998</v>
      </c>
      <c r="D215" s="66">
        <f t="shared" ref="D215:D223" si="10">B215/B25</f>
        <v>9.2476046807267752E-5</v>
      </c>
      <c r="E215" s="68"/>
      <c r="T215" s="102">
        <f>(B215-'FY2015'!B183)/'FY2015'!B183</f>
        <v>-0.21792035398230089</v>
      </c>
      <c r="U215" s="102">
        <f>(C215-'FY2015'!C183)/'FY2015'!C183</f>
        <v>-0.12376225138493924</v>
      </c>
      <c r="V215" s="55"/>
    </row>
    <row r="216" spans="1:22" x14ac:dyDescent="0.2">
      <c r="A216" s="9">
        <v>42309</v>
      </c>
      <c r="B216" s="58">
        <v>646</v>
      </c>
      <c r="C216" s="43">
        <v>253857.14</v>
      </c>
      <c r="D216" s="66">
        <f t="shared" si="10"/>
        <v>9.670039105278883E-5</v>
      </c>
      <c r="E216" s="68"/>
      <c r="T216" s="102">
        <f>(B216-'FY2015'!B184)/'FY2015'!B184</f>
        <v>-8.1081081081081086E-2</v>
      </c>
      <c r="U216" s="102">
        <f>(C216-'FY2015'!C184)/'FY2015'!C184</f>
        <v>-3.9317507362249961E-2</v>
      </c>
      <c r="V216" s="55"/>
    </row>
    <row r="217" spans="1:22" x14ac:dyDescent="0.2">
      <c r="A217" s="9">
        <v>42339</v>
      </c>
      <c r="B217" s="58">
        <v>730</v>
      </c>
      <c r="C217" s="43">
        <v>263771.36</v>
      </c>
      <c r="D217" s="66">
        <f t="shared" si="10"/>
        <v>1.0117303902050085E-4</v>
      </c>
      <c r="E217" s="68"/>
      <c r="T217" s="102">
        <f>(B217-'FY2015'!B185)/'FY2015'!B185</f>
        <v>-2.9255319148936171E-2</v>
      </c>
      <c r="U217" s="102">
        <f>(C217-'FY2015'!C185)/'FY2015'!C185</f>
        <v>-4.5572873321393981E-2</v>
      </c>
      <c r="V217" s="55"/>
    </row>
    <row r="218" spans="1:22" x14ac:dyDescent="0.2">
      <c r="A218" s="9">
        <v>42370</v>
      </c>
      <c r="B218" s="58">
        <v>752</v>
      </c>
      <c r="C218" s="43">
        <v>268790.08</v>
      </c>
      <c r="D218" s="66">
        <f t="shared" si="10"/>
        <v>1.0424274920289645E-4</v>
      </c>
      <c r="E218" s="68"/>
      <c r="T218" s="102">
        <f>(B218-'FY2015'!B186)/'FY2015'!B186</f>
        <v>-0.26990291262135924</v>
      </c>
      <c r="U218" s="102">
        <f>(C218-'FY2015'!C186)/'FY2015'!C186</f>
        <v>-0.19561495815173019</v>
      </c>
      <c r="V218" s="55"/>
    </row>
    <row r="219" spans="1:22" x14ac:dyDescent="0.2">
      <c r="A219" s="9">
        <v>42401</v>
      </c>
      <c r="B219" s="58">
        <v>827</v>
      </c>
      <c r="C219" s="43">
        <v>280836.84000000003</v>
      </c>
      <c r="D219" s="66">
        <f t="shared" si="10"/>
        <v>1.1351155333492003E-4</v>
      </c>
      <c r="E219" s="68"/>
      <c r="T219" s="102">
        <f>(B219-'FY2015'!B187)/'FY2015'!B187</f>
        <v>0.17304964539007092</v>
      </c>
      <c r="U219" s="102">
        <f>(C219-'FY2015'!C187)/'FY2015'!C187</f>
        <v>3.9577575240569748E-2</v>
      </c>
      <c r="V219" s="55"/>
    </row>
    <row r="220" spans="1:22" x14ac:dyDescent="0.2">
      <c r="A220" s="9">
        <v>42430</v>
      </c>
      <c r="B220" s="58">
        <v>885</v>
      </c>
      <c r="C220" s="43">
        <v>368843.76</v>
      </c>
      <c r="D220" s="66">
        <f t="shared" si="10"/>
        <v>1.0683135192359809E-4</v>
      </c>
      <c r="E220" s="68"/>
      <c r="T220" s="102">
        <f>(B220-'FY2015'!B188)/'FY2015'!B188</f>
        <v>0.14489003880983181</v>
      </c>
      <c r="U220" s="102">
        <f>(C220-'FY2015'!C188)/'FY2015'!C188</f>
        <v>0.31629838000308907</v>
      </c>
      <c r="V220" s="55"/>
    </row>
    <row r="221" spans="1:22" x14ac:dyDescent="0.2">
      <c r="A221" s="9">
        <v>42461</v>
      </c>
      <c r="B221" s="58">
        <v>713</v>
      </c>
      <c r="C221" s="43">
        <v>271036.94</v>
      </c>
      <c r="D221" s="66">
        <f t="shared" si="10"/>
        <v>8.8359606994313508E-5</v>
      </c>
      <c r="E221" s="68"/>
      <c r="T221" s="102">
        <f>(B221-'FY2015'!B189)/'FY2015'!B189</f>
        <v>-0.16705607476635514</v>
      </c>
      <c r="U221" s="102">
        <f>(C221-'FY2015'!C189)/'FY2015'!C189</f>
        <v>-1.5873360526867986E-2</v>
      </c>
      <c r="V221" s="55"/>
    </row>
    <row r="222" spans="1:22" x14ac:dyDescent="0.2">
      <c r="A222" s="9">
        <v>42491</v>
      </c>
      <c r="B222" s="58">
        <v>833</v>
      </c>
      <c r="C222" s="43">
        <v>281465</v>
      </c>
      <c r="D222" s="66">
        <f t="shared" si="10"/>
        <v>9.9414919923847934E-5</v>
      </c>
      <c r="T222" s="102">
        <f>(B222-'FY2015'!B190)/'FY2015'!B190</f>
        <v>1.7094017094017096E-2</v>
      </c>
      <c r="U222" s="102">
        <f>(C222-'FY2015'!C190)/'FY2015'!C190</f>
        <v>1.0619829354562741E-2</v>
      </c>
      <c r="V222" s="55"/>
    </row>
    <row r="223" spans="1:22" x14ac:dyDescent="0.2">
      <c r="A223" s="9">
        <v>42522</v>
      </c>
      <c r="B223" s="58">
        <v>972</v>
      </c>
      <c r="C223" s="43">
        <v>291076.15000000002</v>
      </c>
      <c r="D223" s="66">
        <f t="shared" si="10"/>
        <v>1.1162784287806897E-4</v>
      </c>
      <c r="T223" s="102">
        <f>(B223-'FY2015'!B191)/'FY2015'!B191</f>
        <v>0.1070615034168565</v>
      </c>
      <c r="U223" s="102">
        <f>(C223-'FY2015'!C191)/'FY2015'!C191</f>
        <v>-2.6941798068732853E-3</v>
      </c>
      <c r="V223" s="55"/>
    </row>
    <row r="224" spans="1:22" x14ac:dyDescent="0.2">
      <c r="A224" s="9">
        <v>42552</v>
      </c>
      <c r="B224" s="58">
        <v>968</v>
      </c>
      <c r="C224" s="43">
        <v>352791.46</v>
      </c>
      <c r="D224" s="66">
        <f>B224/B34</f>
        <v>1.1121623803032366E-4</v>
      </c>
      <c r="T224" s="102">
        <f>(B224-'FY2015'!B192)/'FY2015'!B192</f>
        <v>4.0860215053763443E-2</v>
      </c>
      <c r="U224" s="102">
        <f>(C224-'FY2015'!C192)/'FY2015'!C192</f>
        <v>2.7259939948680586E-2</v>
      </c>
      <c r="V224" s="55"/>
    </row>
    <row r="225" spans="1:22" x14ac:dyDescent="0.2">
      <c r="A225" s="9">
        <v>42583</v>
      </c>
      <c r="B225" s="58">
        <v>1048</v>
      </c>
      <c r="C225" s="43">
        <v>322718</v>
      </c>
      <c r="D225" s="66">
        <f>B225/B35</f>
        <v>1.2238169730335199E-4</v>
      </c>
      <c r="T225" s="102">
        <f>(B225-'FY2015'!B193)/'FY2015'!B193</f>
        <v>0.23439340400471143</v>
      </c>
      <c r="U225" s="102">
        <f>(C225-'FY2015'!C193)/'FY2015'!C193</f>
        <v>-2.447638735782234E-2</v>
      </c>
      <c r="V225" s="55"/>
    </row>
    <row r="226" spans="1:22" x14ac:dyDescent="0.2">
      <c r="A226" s="9">
        <v>42614</v>
      </c>
      <c r="B226" s="58">
        <v>936</v>
      </c>
      <c r="C226" s="43">
        <v>369495.37</v>
      </c>
      <c r="D226" s="66">
        <f>B226/B36</f>
        <v>1.1543406476516999E-4</v>
      </c>
      <c r="T226" s="102">
        <f>(B226-'FY2015'!B194)/'FY2015'!B194</f>
        <v>0.17587939698492464</v>
      </c>
      <c r="U226" s="102">
        <f>(C226-'FY2015'!C194)/'FY2015'!C194</f>
        <v>0.26895055443874688</v>
      </c>
      <c r="V226" s="55"/>
    </row>
    <row r="227" spans="1:22" x14ac:dyDescent="0.2">
      <c r="A227" s="108" t="s">
        <v>124</v>
      </c>
      <c r="B227" s="63">
        <f>SUM(B215:B226)</f>
        <v>10017</v>
      </c>
      <c r="C227" s="65">
        <f>SUM(C215:C226)</f>
        <v>3626949.9499999997</v>
      </c>
      <c r="D227" s="67">
        <f>B227/B37</f>
        <v>1.0560204344856234E-4</v>
      </c>
      <c r="T227" s="103">
        <f>AVERAGE(T215:T226)</f>
        <v>1.0667706596178607E-2</v>
      </c>
      <c r="U227" s="103">
        <f>AVERAGE(U215:U226)</f>
        <v>1.7949563422814341E-2</v>
      </c>
      <c r="V227" s="55"/>
    </row>
    <row r="228" spans="1:22" x14ac:dyDescent="0.2">
      <c r="D228" s="68"/>
      <c r="T228" s="57"/>
      <c r="U228" s="57"/>
      <c r="V228" s="57"/>
    </row>
    <row r="229" spans="1:22" x14ac:dyDescent="0.2">
      <c r="B229" s="218" t="s">
        <v>122</v>
      </c>
      <c r="C229" s="218"/>
      <c r="D229" s="69">
        <v>1.3999999999999999E-4</v>
      </c>
      <c r="T229" s="57"/>
      <c r="U229" s="57"/>
      <c r="V229" s="57"/>
    </row>
    <row r="231" spans="1:22" ht="15.75" x14ac:dyDescent="0.25">
      <c r="A231" s="207" t="s">
        <v>96</v>
      </c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5"/>
      <c r="T231" s="205"/>
      <c r="U231" s="205"/>
      <c r="V231" s="205"/>
    </row>
    <row r="233" spans="1:22" x14ac:dyDescent="0.2">
      <c r="A233" s="5"/>
      <c r="B233" s="211" t="s">
        <v>96</v>
      </c>
      <c r="C233" s="211"/>
      <c r="D233" s="211"/>
      <c r="E233" s="134"/>
      <c r="F233" s="134"/>
      <c r="T233" s="212" t="s">
        <v>96</v>
      </c>
      <c r="U233" s="213"/>
      <c r="V233" s="214"/>
    </row>
    <row r="234" spans="1:22" x14ac:dyDescent="0.2">
      <c r="A234" s="163" t="s">
        <v>1</v>
      </c>
      <c r="B234" s="115" t="s">
        <v>97</v>
      </c>
      <c r="C234" s="116" t="s">
        <v>98</v>
      </c>
      <c r="D234" s="64" t="s">
        <v>99</v>
      </c>
      <c r="E234" s="220"/>
      <c r="F234" s="221"/>
      <c r="T234" s="113"/>
      <c r="U234" s="113"/>
      <c r="V234" s="113"/>
    </row>
    <row r="235" spans="1:22" x14ac:dyDescent="0.2">
      <c r="A235" s="9">
        <v>42278</v>
      </c>
      <c r="B235" s="165">
        <v>4</v>
      </c>
      <c r="C235" s="73">
        <v>0</v>
      </c>
      <c r="D235" s="43">
        <v>0</v>
      </c>
      <c r="E235" s="219"/>
      <c r="F235" s="219"/>
      <c r="T235" s="114"/>
      <c r="U235" s="114"/>
      <c r="V235" s="114"/>
    </row>
    <row r="236" spans="1:22" x14ac:dyDescent="0.2">
      <c r="A236" s="9">
        <v>42309</v>
      </c>
      <c r="B236" s="165">
        <v>4</v>
      </c>
      <c r="C236" s="73">
        <v>0</v>
      </c>
      <c r="D236" s="43">
        <v>0</v>
      </c>
      <c r="E236" s="219"/>
      <c r="F236" s="219"/>
      <c r="T236" s="114"/>
      <c r="U236" s="114"/>
      <c r="V236" s="114"/>
    </row>
    <row r="237" spans="1:22" x14ac:dyDescent="0.2">
      <c r="A237" s="9">
        <v>42339</v>
      </c>
      <c r="B237" s="165">
        <v>4</v>
      </c>
      <c r="C237" s="73">
        <f>3</f>
        <v>3</v>
      </c>
      <c r="D237" s="43">
        <f>150</f>
        <v>150</v>
      </c>
      <c r="E237" s="219"/>
      <c r="F237" s="219"/>
      <c r="T237" s="114"/>
      <c r="U237" s="114"/>
      <c r="V237" s="114"/>
    </row>
    <row r="238" spans="1:22" x14ac:dyDescent="0.2">
      <c r="A238" s="9">
        <v>42370</v>
      </c>
      <c r="B238" s="165">
        <v>4</v>
      </c>
      <c r="C238" s="73">
        <v>0</v>
      </c>
      <c r="D238" s="43">
        <v>0</v>
      </c>
      <c r="E238" s="219"/>
      <c r="F238" s="219"/>
      <c r="T238" s="114"/>
      <c r="U238" s="114"/>
      <c r="V238" s="114"/>
    </row>
    <row r="239" spans="1:22" x14ac:dyDescent="0.2">
      <c r="A239" s="9">
        <v>42401</v>
      </c>
      <c r="B239" s="58">
        <v>4</v>
      </c>
      <c r="C239" s="73">
        <v>0</v>
      </c>
      <c r="D239" s="43">
        <v>0</v>
      </c>
      <c r="E239" s="219"/>
      <c r="F239" s="219"/>
      <c r="T239" s="114"/>
      <c r="U239" s="114"/>
      <c r="V239" s="114"/>
    </row>
    <row r="240" spans="1:22" x14ac:dyDescent="0.2">
      <c r="A240" s="9">
        <v>42430</v>
      </c>
      <c r="B240" s="58">
        <v>4</v>
      </c>
      <c r="C240" s="73">
        <v>27</v>
      </c>
      <c r="D240" s="43">
        <v>4497.5</v>
      </c>
      <c r="E240" s="219"/>
      <c r="F240" s="219"/>
      <c r="T240" s="114"/>
      <c r="U240" s="114"/>
      <c r="V240" s="114"/>
    </row>
    <row r="241" spans="1:22" x14ac:dyDescent="0.2">
      <c r="A241" s="9">
        <v>42461</v>
      </c>
      <c r="B241" s="58">
        <v>4</v>
      </c>
      <c r="C241" s="73">
        <v>0</v>
      </c>
      <c r="D241" s="158">
        <v>0</v>
      </c>
      <c r="E241" s="219"/>
      <c r="F241" s="219"/>
      <c r="T241" s="114"/>
      <c r="U241" s="114"/>
      <c r="V241" s="114"/>
    </row>
    <row r="242" spans="1:22" x14ac:dyDescent="0.2">
      <c r="A242" s="9">
        <v>42491</v>
      </c>
      <c r="B242" s="58">
        <v>4</v>
      </c>
      <c r="C242" s="73">
        <v>3</v>
      </c>
      <c r="D242" s="43">
        <v>260</v>
      </c>
      <c r="E242" s="219"/>
      <c r="F242" s="219"/>
      <c r="T242" s="114"/>
      <c r="U242" s="114"/>
      <c r="V242" s="114"/>
    </row>
    <row r="243" spans="1:22" x14ac:dyDescent="0.2">
      <c r="A243" s="9">
        <v>42522</v>
      </c>
      <c r="B243" s="58">
        <v>4</v>
      </c>
      <c r="C243" s="73">
        <v>0</v>
      </c>
      <c r="D243" s="43">
        <v>0</v>
      </c>
      <c r="E243" s="219"/>
      <c r="F243" s="219"/>
      <c r="T243" s="114"/>
      <c r="U243" s="114"/>
      <c r="V243" s="114"/>
    </row>
    <row r="244" spans="1:22" x14ac:dyDescent="0.2">
      <c r="A244" s="9">
        <v>42552</v>
      </c>
      <c r="B244" s="58">
        <v>4</v>
      </c>
      <c r="C244" s="73">
        <v>2</v>
      </c>
      <c r="D244" s="43">
        <v>98</v>
      </c>
      <c r="E244" s="219"/>
      <c r="F244" s="219"/>
      <c r="T244" s="114"/>
      <c r="U244" s="114"/>
      <c r="V244" s="114"/>
    </row>
    <row r="245" spans="1:22" x14ac:dyDescent="0.2">
      <c r="A245" s="9">
        <v>42583</v>
      </c>
      <c r="B245" s="58">
        <v>4</v>
      </c>
      <c r="C245" s="73">
        <v>0</v>
      </c>
      <c r="D245" s="43">
        <v>0</v>
      </c>
      <c r="E245" s="219"/>
      <c r="F245" s="219"/>
      <c r="T245" s="114"/>
      <c r="U245" s="114"/>
      <c r="V245" s="114"/>
    </row>
    <row r="246" spans="1:22" x14ac:dyDescent="0.2">
      <c r="A246" s="9">
        <v>42614</v>
      </c>
      <c r="B246" s="58">
        <v>4</v>
      </c>
      <c r="C246" s="73">
        <v>3</v>
      </c>
      <c r="D246" s="43">
        <v>752.36</v>
      </c>
      <c r="E246" s="219"/>
      <c r="F246" s="219"/>
      <c r="T246" s="114"/>
      <c r="U246" s="114"/>
      <c r="V246" s="114"/>
    </row>
    <row r="247" spans="1:22" x14ac:dyDescent="0.2">
      <c r="A247" s="110" t="s">
        <v>124</v>
      </c>
      <c r="B247" s="135"/>
      <c r="C247" s="63">
        <f>SUM(C235:C246)</f>
        <v>38</v>
      </c>
      <c r="D247" s="65">
        <f>SUM(D235:D246)</f>
        <v>5757.86</v>
      </c>
      <c r="E247" s="223"/>
      <c r="F247" s="223"/>
      <c r="T247" s="51"/>
      <c r="U247" s="50"/>
      <c r="V247" s="50"/>
    </row>
    <row r="248" spans="1:22" x14ac:dyDescent="0.2">
      <c r="A248" s="118" t="s">
        <v>100</v>
      </c>
      <c r="B248" s="77" t="s">
        <v>126</v>
      </c>
      <c r="C248" s="77"/>
      <c r="D248" s="77"/>
    </row>
    <row r="249" spans="1:22" x14ac:dyDescent="0.2">
      <c r="A249" s="118"/>
      <c r="B249" s="77" t="s">
        <v>150</v>
      </c>
      <c r="C249" s="77"/>
      <c r="D249" s="77"/>
    </row>
    <row r="250" spans="1:22" x14ac:dyDescent="0.2">
      <c r="A250" s="118"/>
      <c r="B250" s="77"/>
      <c r="C250" s="77"/>
      <c r="D250" s="77"/>
    </row>
    <row r="251" spans="1:22" ht="15.75" x14ac:dyDescent="0.25">
      <c r="A251" s="207" t="s">
        <v>102</v>
      </c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5"/>
      <c r="T251" s="205"/>
      <c r="U251" s="205"/>
      <c r="V251" s="205"/>
    </row>
    <row r="252" spans="1:22" ht="15.75" x14ac:dyDescent="0.25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59"/>
      <c r="T252" s="159"/>
      <c r="U252" s="159"/>
      <c r="V252" s="159"/>
    </row>
    <row r="253" spans="1:22" x14ac:dyDescent="0.2">
      <c r="A253" s="5"/>
      <c r="B253" s="211" t="s">
        <v>103</v>
      </c>
      <c r="C253" s="211"/>
      <c r="D253" s="211"/>
      <c r="E253" s="224"/>
      <c r="F253" s="224"/>
      <c r="T253" s="212" t="s">
        <v>80</v>
      </c>
      <c r="U253" s="213"/>
      <c r="V253" s="214"/>
    </row>
    <row r="254" spans="1:22" ht="24" x14ac:dyDescent="0.2">
      <c r="A254" s="163" t="s">
        <v>1</v>
      </c>
      <c r="B254" s="115" t="s">
        <v>79</v>
      </c>
      <c r="C254" s="116" t="s">
        <v>83</v>
      </c>
      <c r="D254" s="116" t="s">
        <v>82</v>
      </c>
      <c r="E254" s="225" t="s">
        <v>81</v>
      </c>
      <c r="F254" s="226"/>
      <c r="T254" s="8" t="s">
        <v>93</v>
      </c>
      <c r="U254" s="8" t="s">
        <v>95</v>
      </c>
      <c r="V254" s="8" t="s">
        <v>94</v>
      </c>
    </row>
    <row r="255" spans="1:22" x14ac:dyDescent="0.2">
      <c r="A255" s="9">
        <v>42278</v>
      </c>
      <c r="B255" s="165">
        <v>733</v>
      </c>
      <c r="C255" s="73">
        <v>389</v>
      </c>
      <c r="D255" s="73">
        <v>248</v>
      </c>
      <c r="E255" s="222">
        <f t="shared" ref="E255:E259" si="11">D255/B255</f>
        <v>0.33833560709413368</v>
      </c>
      <c r="F255" s="222"/>
      <c r="T255" s="38">
        <f>(B255-'FY2015'!B223)/'FY2015'!B223</f>
        <v>7.7941176470588236E-2</v>
      </c>
      <c r="U255" s="38">
        <f>(C255-'FY2015'!C223)/'FY2015'!C223</f>
        <v>3.7333333333333336E-2</v>
      </c>
      <c r="V255" s="38">
        <f>(D255-'FY2015'!D223)/'FY2015'!D223</f>
        <v>-0.11428571428571428</v>
      </c>
    </row>
    <row r="256" spans="1:22" x14ac:dyDescent="0.2">
      <c r="A256" s="9">
        <v>42309</v>
      </c>
      <c r="B256" s="165">
        <v>733</v>
      </c>
      <c r="C256" s="73">
        <v>389</v>
      </c>
      <c r="D256" s="73">
        <v>245</v>
      </c>
      <c r="E256" s="222">
        <f t="shared" si="11"/>
        <v>0.33424283765347884</v>
      </c>
      <c r="F256" s="222"/>
      <c r="T256" s="38">
        <f>(B256-'FY2015'!B224)/'FY2015'!B224</f>
        <v>7.320644216691069E-2</v>
      </c>
      <c r="U256" s="38">
        <f>(C256-'FY2015'!C224)/'FY2015'!C224</f>
        <v>3.7333333333333336E-2</v>
      </c>
      <c r="V256" s="38">
        <f>(D256-'FY2015'!D224)/'FY2015'!D224</f>
        <v>-0.10583941605839416</v>
      </c>
    </row>
    <row r="257" spans="1:22" x14ac:dyDescent="0.2">
      <c r="A257" s="9">
        <v>42339</v>
      </c>
      <c r="B257" s="165">
        <v>745</v>
      </c>
      <c r="C257" s="73">
        <v>387</v>
      </c>
      <c r="D257" s="73">
        <v>239</v>
      </c>
      <c r="E257" s="222">
        <f t="shared" si="11"/>
        <v>0.32080536912751678</v>
      </c>
      <c r="F257" s="222"/>
      <c r="T257" s="38">
        <f>(B257-'FY2015'!B225)/'FY2015'!B225</f>
        <v>8.284883720930232E-2</v>
      </c>
      <c r="U257" s="38">
        <f>(C257-'FY2015'!C225)/'FY2015'!C225</f>
        <v>2.6525198938992044E-2</v>
      </c>
      <c r="V257" s="38">
        <f>(D257-'FY2015'!D225)/'FY2015'!D225</f>
        <v>-0.12132352941176471</v>
      </c>
    </row>
    <row r="258" spans="1:22" x14ac:dyDescent="0.2">
      <c r="A258" s="9">
        <v>42370</v>
      </c>
      <c r="B258" s="165">
        <v>750</v>
      </c>
      <c r="C258" s="73">
        <v>387</v>
      </c>
      <c r="D258" s="73">
        <v>237</v>
      </c>
      <c r="E258" s="222">
        <f t="shared" si="11"/>
        <v>0.316</v>
      </c>
      <c r="F258" s="222"/>
      <c r="T258" s="38">
        <f>(B258-'FY2015'!B226)/'FY2015'!B226</f>
        <v>8.069164265129683E-2</v>
      </c>
      <c r="U258" s="38">
        <f>(C258-'FY2015'!C226)/'FY2015'!C226</f>
        <v>1.5748031496062992E-2</v>
      </c>
      <c r="V258" s="38">
        <f>(D258-'FY2015'!D226)/'FY2015'!D226</f>
        <v>-8.1395348837209308E-2</v>
      </c>
    </row>
    <row r="259" spans="1:22" x14ac:dyDescent="0.2">
      <c r="A259" s="9">
        <v>42401</v>
      </c>
      <c r="B259" s="58">
        <v>750</v>
      </c>
      <c r="C259" s="73">
        <v>387</v>
      </c>
      <c r="D259" s="73">
        <v>227</v>
      </c>
      <c r="E259" s="222">
        <f t="shared" si="11"/>
        <v>0.30266666666666664</v>
      </c>
      <c r="F259" s="222"/>
      <c r="T259" s="38">
        <f>(B259-'FY2015'!B227)/'FY2015'!B227</f>
        <v>8.069164265129683E-2</v>
      </c>
      <c r="U259" s="38">
        <f>(C259-'FY2015'!C227)/'FY2015'!C227</f>
        <v>1.5748031496062992E-2</v>
      </c>
      <c r="V259" s="38">
        <f>(D259-'FY2015'!D227)/'FY2015'!D227</f>
        <v>-0.10980392156862745</v>
      </c>
    </row>
    <row r="260" spans="1:22" x14ac:dyDescent="0.2">
      <c r="A260" s="9">
        <v>42430</v>
      </c>
      <c r="B260" s="58">
        <v>753</v>
      </c>
      <c r="C260" s="73">
        <v>391</v>
      </c>
      <c r="D260" s="73">
        <v>223</v>
      </c>
      <c r="E260" s="222">
        <f t="shared" ref="E260" si="12">D260/B260</f>
        <v>0.29614873837981409</v>
      </c>
      <c r="F260" s="222"/>
      <c r="T260" s="38">
        <f>(B260-'FY2015'!B228)/'FY2015'!B228</f>
        <v>8.3453237410071948E-2</v>
      </c>
      <c r="U260" s="38">
        <f>(C260-'FY2015'!C228)/'FY2015'!C228</f>
        <v>1.8229166666666668E-2</v>
      </c>
      <c r="V260" s="38">
        <f>(D260-'FY2015'!D228)/'FY2015'!D228</f>
        <v>-0.1423076923076923</v>
      </c>
    </row>
    <row r="261" spans="1:22" x14ac:dyDescent="0.2">
      <c r="A261" s="9">
        <v>42461</v>
      </c>
      <c r="B261" s="58">
        <v>760</v>
      </c>
      <c r="C261" s="73">
        <v>392</v>
      </c>
      <c r="D261" s="73">
        <v>230</v>
      </c>
      <c r="E261" s="222">
        <f t="shared" ref="E261" si="13">D261/B261</f>
        <v>0.30263157894736842</v>
      </c>
      <c r="F261" s="222"/>
      <c r="T261" s="38">
        <f>(B261-'FY2015'!B229)/'FY2015'!B229</f>
        <v>9.3525179856115109E-2</v>
      </c>
      <c r="U261" s="38">
        <f>(C261-'FY2015'!C229)/'FY2015'!C229</f>
        <v>2.0833333333333332E-2</v>
      </c>
      <c r="V261" s="38">
        <f>(D261-'FY2015'!D229)/'FY2015'!D229</f>
        <v>-0.10505836575875487</v>
      </c>
    </row>
    <row r="262" spans="1:22" x14ac:dyDescent="0.2">
      <c r="A262" s="9">
        <v>42491</v>
      </c>
      <c r="B262" s="58">
        <v>771</v>
      </c>
      <c r="C262" s="73">
        <v>396</v>
      </c>
      <c r="D262" s="73">
        <v>238</v>
      </c>
      <c r="E262" s="222">
        <f t="shared" ref="E262" si="14">D262/B262</f>
        <v>0.30869001297016863</v>
      </c>
      <c r="F262" s="222"/>
      <c r="T262" s="38">
        <f>(B262-'FY2015'!B230)/'FY2015'!B230</f>
        <v>0.10935251798561151</v>
      </c>
      <c r="U262" s="38">
        <f>(C262-'FY2015'!C230)/'FY2015'!C230</f>
        <v>3.125E-2</v>
      </c>
      <c r="V262" s="38">
        <f>(D262-'FY2015'!D230)/'FY2015'!D230</f>
        <v>-5.1792828685258967E-2</v>
      </c>
    </row>
    <row r="263" spans="1:22" x14ac:dyDescent="0.2">
      <c r="A263" s="9">
        <v>42522</v>
      </c>
      <c r="B263" s="58">
        <v>771</v>
      </c>
      <c r="C263" s="73">
        <v>396</v>
      </c>
      <c r="D263" s="73">
        <v>250</v>
      </c>
      <c r="E263" s="222">
        <f t="shared" ref="E263" si="15">D263/B263</f>
        <v>0.32425421530479898</v>
      </c>
      <c r="F263" s="222"/>
      <c r="T263" s="38">
        <f>(B263-'FY2015'!B231)/'FY2015'!B231</f>
        <v>6.1983471074380167E-2</v>
      </c>
      <c r="U263" s="38">
        <f>(C263-'FY2015'!C231)/'FY2015'!C231</f>
        <v>2.3255813953488372E-2</v>
      </c>
      <c r="V263" s="38">
        <f>(D263-'FY2015'!D231)/'FY2015'!D231</f>
        <v>-7.9365079365079361E-3</v>
      </c>
    </row>
    <row r="264" spans="1:22" x14ac:dyDescent="0.2">
      <c r="A264" s="9">
        <v>42552</v>
      </c>
      <c r="B264" s="58">
        <v>785</v>
      </c>
      <c r="C264" s="73">
        <v>399</v>
      </c>
      <c r="D264" s="73">
        <v>247</v>
      </c>
      <c r="E264" s="222">
        <f t="shared" ref="E264" si="16">D264/B264</f>
        <v>0.31464968152866241</v>
      </c>
      <c r="F264" s="222"/>
      <c r="T264" s="38">
        <f>(B264-'FY2015'!B232)/'FY2015'!B232</f>
        <v>8.5753803596127248E-2</v>
      </c>
      <c r="U264" s="38">
        <f>(C264-'FY2015'!C232)/'FY2015'!C232</f>
        <v>2.8350515463917526E-2</v>
      </c>
      <c r="V264" s="38">
        <f>(D264-'FY2015'!D232)/'FY2015'!D232</f>
        <v>-2.7559055118110236E-2</v>
      </c>
    </row>
    <row r="265" spans="1:22" x14ac:dyDescent="0.2">
      <c r="A265" s="9">
        <v>42583</v>
      </c>
      <c r="B265" s="58">
        <v>782</v>
      </c>
      <c r="C265" s="73">
        <v>399</v>
      </c>
      <c r="D265" s="73">
        <v>240</v>
      </c>
      <c r="E265" s="222">
        <f t="shared" ref="E265" si="17">D265/B265</f>
        <v>0.30690537084398978</v>
      </c>
      <c r="F265" s="222"/>
      <c r="T265" s="38"/>
      <c r="U265" s="38"/>
      <c r="V265" s="38"/>
    </row>
    <row r="266" spans="1:22" x14ac:dyDescent="0.2">
      <c r="A266" s="9">
        <v>42614</v>
      </c>
      <c r="B266" s="58">
        <v>782</v>
      </c>
      <c r="C266" s="73">
        <v>399</v>
      </c>
      <c r="D266" s="73">
        <v>243</v>
      </c>
      <c r="E266" s="222">
        <f t="shared" ref="E266" si="18">D266/B266</f>
        <v>0.31074168797953966</v>
      </c>
      <c r="F266" s="222"/>
      <c r="T266" s="38"/>
      <c r="U266" s="38"/>
      <c r="V266" s="38"/>
    </row>
    <row r="267" spans="1:22" x14ac:dyDescent="0.2">
      <c r="A267" s="130"/>
      <c r="B267" s="131"/>
      <c r="C267" s="132"/>
      <c r="D267" s="132"/>
      <c r="E267" s="164"/>
      <c r="F267" s="164"/>
      <c r="T267" s="50"/>
      <c r="U267" s="50"/>
      <c r="V267" s="50"/>
    </row>
    <row r="269" spans="1:22" x14ac:dyDescent="0.2">
      <c r="A269" s="5"/>
      <c r="B269" s="208" t="s">
        <v>104</v>
      </c>
      <c r="C269" s="224"/>
      <c r="D269" s="224"/>
      <c r="E269" s="224"/>
      <c r="F269" s="224"/>
      <c r="G269" s="224"/>
      <c r="H269" s="224"/>
      <c r="I269" s="224"/>
      <c r="J269" s="224"/>
      <c r="K269" s="224"/>
      <c r="L269" s="138"/>
      <c r="M269" s="138"/>
      <c r="N269" s="138"/>
    </row>
    <row r="270" spans="1:22" ht="33.75" x14ac:dyDescent="0.2">
      <c r="A270" s="163" t="s">
        <v>1</v>
      </c>
      <c r="B270" s="115" t="s">
        <v>105</v>
      </c>
      <c r="C270" s="116" t="s">
        <v>106</v>
      </c>
      <c r="D270" s="116" t="s">
        <v>107</v>
      </c>
      <c r="E270" s="228" t="s">
        <v>108</v>
      </c>
      <c r="F270" s="229"/>
      <c r="G270" s="139" t="s">
        <v>109</v>
      </c>
      <c r="H270" s="139" t="s">
        <v>110</v>
      </c>
      <c r="I270" s="115" t="s">
        <v>111</v>
      </c>
      <c r="J270" s="139" t="s">
        <v>112</v>
      </c>
      <c r="K270" s="139" t="s">
        <v>113</v>
      </c>
    </row>
    <row r="271" spans="1:22" x14ac:dyDescent="0.2">
      <c r="A271" s="9">
        <v>42278</v>
      </c>
      <c r="B271" s="58">
        <v>2</v>
      </c>
      <c r="C271" s="73">
        <v>2</v>
      </c>
      <c r="D271" s="137">
        <f t="shared" ref="D271:D282" si="19">C271/B271</f>
        <v>1</v>
      </c>
      <c r="E271" s="227">
        <v>4</v>
      </c>
      <c r="F271" s="224"/>
      <c r="G271" s="73">
        <v>4</v>
      </c>
      <c r="H271" s="137">
        <f t="shared" ref="H271:H282" si="20">G271/E271</f>
        <v>1</v>
      </c>
      <c r="I271" s="58">
        <v>30</v>
      </c>
      <c r="J271" s="73">
        <v>19</v>
      </c>
      <c r="K271" s="137">
        <f t="shared" ref="K271:K282" si="21">J271/I271</f>
        <v>0.6333333333333333</v>
      </c>
    </row>
    <row r="272" spans="1:22" x14ac:dyDescent="0.2">
      <c r="A272" s="9">
        <v>42309</v>
      </c>
      <c r="B272" s="165">
        <v>2</v>
      </c>
      <c r="C272" s="73">
        <v>2</v>
      </c>
      <c r="D272" s="137">
        <f t="shared" si="19"/>
        <v>1</v>
      </c>
      <c r="E272" s="227">
        <v>4</v>
      </c>
      <c r="F272" s="224"/>
      <c r="G272" s="73">
        <v>4</v>
      </c>
      <c r="H272" s="137">
        <f t="shared" si="20"/>
        <v>1</v>
      </c>
      <c r="I272" s="165">
        <v>30</v>
      </c>
      <c r="J272" s="73">
        <v>19</v>
      </c>
      <c r="K272" s="137">
        <f t="shared" si="21"/>
        <v>0.6333333333333333</v>
      </c>
    </row>
    <row r="273" spans="1:11" x14ac:dyDescent="0.2">
      <c r="A273" s="9">
        <v>42339</v>
      </c>
      <c r="B273" s="165">
        <v>2</v>
      </c>
      <c r="C273" s="73">
        <v>2</v>
      </c>
      <c r="D273" s="137">
        <f t="shared" si="19"/>
        <v>1</v>
      </c>
      <c r="E273" s="227">
        <v>4</v>
      </c>
      <c r="F273" s="224"/>
      <c r="G273" s="73">
        <v>4</v>
      </c>
      <c r="H273" s="137">
        <f t="shared" si="20"/>
        <v>1</v>
      </c>
      <c r="I273" s="165">
        <v>30</v>
      </c>
      <c r="J273" s="73">
        <v>19</v>
      </c>
      <c r="K273" s="137">
        <f t="shared" si="21"/>
        <v>0.6333333333333333</v>
      </c>
    </row>
    <row r="274" spans="1:11" x14ac:dyDescent="0.2">
      <c r="A274" s="9">
        <v>42370</v>
      </c>
      <c r="B274" s="165">
        <v>2</v>
      </c>
      <c r="C274" s="73">
        <v>2</v>
      </c>
      <c r="D274" s="137">
        <f t="shared" si="19"/>
        <v>1</v>
      </c>
      <c r="E274" s="227">
        <v>4</v>
      </c>
      <c r="F274" s="224"/>
      <c r="G274" s="73">
        <v>4</v>
      </c>
      <c r="H274" s="137">
        <f t="shared" si="20"/>
        <v>1</v>
      </c>
      <c r="I274" s="165">
        <v>30</v>
      </c>
      <c r="J274" s="73">
        <f>30-13</f>
        <v>17</v>
      </c>
      <c r="K274" s="137">
        <f t="shared" si="21"/>
        <v>0.56666666666666665</v>
      </c>
    </row>
    <row r="275" spans="1:11" x14ac:dyDescent="0.2">
      <c r="A275" s="9">
        <v>42401</v>
      </c>
      <c r="B275" s="58">
        <v>2</v>
      </c>
      <c r="C275" s="73">
        <v>2</v>
      </c>
      <c r="D275" s="137">
        <f t="shared" si="19"/>
        <v>1</v>
      </c>
      <c r="E275" s="227">
        <v>4</v>
      </c>
      <c r="F275" s="224"/>
      <c r="G275" s="73">
        <v>4</v>
      </c>
      <c r="H275" s="137">
        <f t="shared" si="20"/>
        <v>1</v>
      </c>
      <c r="I275" s="58">
        <v>30</v>
      </c>
      <c r="J275" s="73">
        <v>19</v>
      </c>
      <c r="K275" s="137">
        <f t="shared" si="21"/>
        <v>0.6333333333333333</v>
      </c>
    </row>
    <row r="276" spans="1:11" x14ac:dyDescent="0.2">
      <c r="A276" s="9">
        <v>42430</v>
      </c>
      <c r="B276" s="58">
        <v>2</v>
      </c>
      <c r="C276" s="73">
        <v>2</v>
      </c>
      <c r="D276" s="137">
        <f t="shared" si="19"/>
        <v>1</v>
      </c>
      <c r="E276" s="227">
        <v>4</v>
      </c>
      <c r="F276" s="224"/>
      <c r="G276" s="73">
        <v>4</v>
      </c>
      <c r="H276" s="137">
        <f t="shared" si="20"/>
        <v>1</v>
      </c>
      <c r="I276" s="58">
        <v>30</v>
      </c>
      <c r="J276" s="73">
        <v>19</v>
      </c>
      <c r="K276" s="137">
        <f t="shared" si="21"/>
        <v>0.6333333333333333</v>
      </c>
    </row>
    <row r="277" spans="1:11" x14ac:dyDescent="0.2">
      <c r="A277" s="9">
        <v>42461</v>
      </c>
      <c r="B277" s="58">
        <v>2</v>
      </c>
      <c r="C277" s="73">
        <v>2</v>
      </c>
      <c r="D277" s="137">
        <f t="shared" si="19"/>
        <v>1</v>
      </c>
      <c r="E277" s="227">
        <v>4</v>
      </c>
      <c r="F277" s="224"/>
      <c r="G277" s="73">
        <v>4</v>
      </c>
      <c r="H277" s="137">
        <f t="shared" si="20"/>
        <v>1</v>
      </c>
      <c r="I277" s="58">
        <v>30</v>
      </c>
      <c r="J277" s="73">
        <v>21</v>
      </c>
      <c r="K277" s="137">
        <f t="shared" si="21"/>
        <v>0.7</v>
      </c>
    </row>
    <row r="278" spans="1:11" x14ac:dyDescent="0.2">
      <c r="A278" s="9">
        <v>42491</v>
      </c>
      <c r="B278" s="58">
        <v>2</v>
      </c>
      <c r="C278" s="73">
        <v>2</v>
      </c>
      <c r="D278" s="137">
        <f t="shared" si="19"/>
        <v>1</v>
      </c>
      <c r="E278" s="227">
        <v>4</v>
      </c>
      <c r="F278" s="224"/>
      <c r="G278" s="73">
        <v>4</v>
      </c>
      <c r="H278" s="137">
        <f t="shared" si="20"/>
        <v>1</v>
      </c>
      <c r="I278" s="58">
        <v>30</v>
      </c>
      <c r="J278" s="73">
        <v>20</v>
      </c>
      <c r="K278" s="137">
        <f t="shared" si="21"/>
        <v>0.66666666666666663</v>
      </c>
    </row>
    <row r="279" spans="1:11" x14ac:dyDescent="0.2">
      <c r="A279" s="9">
        <v>42522</v>
      </c>
      <c r="B279" s="58">
        <v>2</v>
      </c>
      <c r="C279" s="73">
        <v>2</v>
      </c>
      <c r="D279" s="137">
        <f t="shared" si="19"/>
        <v>1</v>
      </c>
      <c r="E279" s="227">
        <v>4</v>
      </c>
      <c r="F279" s="224"/>
      <c r="G279" s="73">
        <v>4</v>
      </c>
      <c r="H279" s="137">
        <f t="shared" si="20"/>
        <v>1</v>
      </c>
      <c r="I279" s="58">
        <v>30</v>
      </c>
      <c r="J279" s="73">
        <v>19</v>
      </c>
      <c r="K279" s="137">
        <f t="shared" si="21"/>
        <v>0.6333333333333333</v>
      </c>
    </row>
    <row r="280" spans="1:11" x14ac:dyDescent="0.2">
      <c r="A280" s="9">
        <v>42552</v>
      </c>
      <c r="B280" s="58">
        <v>2</v>
      </c>
      <c r="C280" s="73">
        <v>2</v>
      </c>
      <c r="D280" s="137">
        <f t="shared" si="19"/>
        <v>1</v>
      </c>
      <c r="E280" s="227">
        <v>4</v>
      </c>
      <c r="F280" s="224"/>
      <c r="G280" s="73">
        <v>4</v>
      </c>
      <c r="H280" s="137">
        <f t="shared" si="20"/>
        <v>1</v>
      </c>
      <c r="I280" s="58">
        <v>30</v>
      </c>
      <c r="J280" s="73">
        <v>19</v>
      </c>
      <c r="K280" s="137">
        <f t="shared" si="21"/>
        <v>0.6333333333333333</v>
      </c>
    </row>
    <row r="281" spans="1:11" x14ac:dyDescent="0.2">
      <c r="A281" s="9">
        <v>42583</v>
      </c>
      <c r="B281" s="58">
        <v>2</v>
      </c>
      <c r="C281" s="73">
        <v>2</v>
      </c>
      <c r="D281" s="137">
        <f t="shared" si="19"/>
        <v>1</v>
      </c>
      <c r="E281" s="227">
        <v>4</v>
      </c>
      <c r="F281" s="224"/>
      <c r="G281" s="73">
        <v>4</v>
      </c>
      <c r="H281" s="137">
        <f t="shared" si="20"/>
        <v>1</v>
      </c>
      <c r="I281" s="58">
        <v>30</v>
      </c>
      <c r="J281" s="73">
        <v>21</v>
      </c>
      <c r="K281" s="137">
        <f t="shared" si="21"/>
        <v>0.7</v>
      </c>
    </row>
    <row r="282" spans="1:11" x14ac:dyDescent="0.2">
      <c r="A282" s="9">
        <v>42614</v>
      </c>
      <c r="B282" s="58">
        <v>3</v>
      </c>
      <c r="C282" s="73">
        <v>1</v>
      </c>
      <c r="D282" s="137">
        <f t="shared" si="19"/>
        <v>0.33333333333333331</v>
      </c>
      <c r="E282" s="227">
        <v>3</v>
      </c>
      <c r="F282" s="224"/>
      <c r="G282" s="73">
        <v>2</v>
      </c>
      <c r="H282" s="137">
        <f t="shared" si="20"/>
        <v>0.66666666666666663</v>
      </c>
      <c r="I282" s="58">
        <v>30</v>
      </c>
      <c r="J282" s="73">
        <v>21</v>
      </c>
      <c r="K282" s="137">
        <f t="shared" si="21"/>
        <v>0.7</v>
      </c>
    </row>
  </sheetData>
  <mergeCells count="76">
    <mergeCell ref="E281:F281"/>
    <mergeCell ref="E282:F282"/>
    <mergeCell ref="E275:F275"/>
    <mergeCell ref="E276:F276"/>
    <mergeCell ref="E277:F277"/>
    <mergeCell ref="E278:F278"/>
    <mergeCell ref="E279:F279"/>
    <mergeCell ref="E280:F280"/>
    <mergeCell ref="E274:F274"/>
    <mergeCell ref="E261:F261"/>
    <mergeCell ref="E262:F262"/>
    <mergeCell ref="E263:F263"/>
    <mergeCell ref="E264:F264"/>
    <mergeCell ref="E265:F265"/>
    <mergeCell ref="E266:F266"/>
    <mergeCell ref="B269:K269"/>
    <mergeCell ref="E270:F270"/>
    <mergeCell ref="E271:F271"/>
    <mergeCell ref="E272:F272"/>
    <mergeCell ref="E273:F273"/>
    <mergeCell ref="E260:F260"/>
    <mergeCell ref="E246:F246"/>
    <mergeCell ref="E247:F247"/>
    <mergeCell ref="A251:V251"/>
    <mergeCell ref="B253:F253"/>
    <mergeCell ref="T253:V253"/>
    <mergeCell ref="E254:F254"/>
    <mergeCell ref="E255:F255"/>
    <mergeCell ref="E256:F256"/>
    <mergeCell ref="E257:F257"/>
    <mergeCell ref="E258:F258"/>
    <mergeCell ref="E259:F259"/>
    <mergeCell ref="E245:F245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B213:D213"/>
    <mergeCell ref="T213:V213"/>
    <mergeCell ref="B229:C229"/>
    <mergeCell ref="A231:V231"/>
    <mergeCell ref="B233:D233"/>
    <mergeCell ref="T233:V233"/>
    <mergeCell ref="A211:V211"/>
    <mergeCell ref="B98:D98"/>
    <mergeCell ref="T98:V98"/>
    <mergeCell ref="B116:D116"/>
    <mergeCell ref="T116:V116"/>
    <mergeCell ref="B133:D133"/>
    <mergeCell ref="T133:V133"/>
    <mergeCell ref="A166:V166"/>
    <mergeCell ref="B168:D168"/>
    <mergeCell ref="T168:V168"/>
    <mergeCell ref="B185:D185"/>
    <mergeCell ref="T185:V185"/>
    <mergeCell ref="B150:D150"/>
    <mergeCell ref="B40:D40"/>
    <mergeCell ref="T40:V40"/>
    <mergeCell ref="B57:D57"/>
    <mergeCell ref="T57:V57"/>
    <mergeCell ref="B74:D74"/>
    <mergeCell ref="T74:V74"/>
    <mergeCell ref="B23:D23"/>
    <mergeCell ref="T23:V23"/>
    <mergeCell ref="A1:V1"/>
    <mergeCell ref="A2:V2"/>
    <mergeCell ref="A5:V5"/>
    <mergeCell ref="B7:D7"/>
    <mergeCell ref="T7:V7"/>
  </mergeCells>
  <pageMargins left="0.25" right="0.25" top="0.75" bottom="0.75" header="0.3" footer="0.3"/>
  <pageSetup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0"/>
  <sheetViews>
    <sheetView topLeftCell="A13" zoomScaleNormal="100" zoomScaleSheetLayoutView="100" workbookViewId="0">
      <selection activeCell="B123" sqref="B123"/>
    </sheetView>
  </sheetViews>
  <sheetFormatPr defaultRowHeight="12.75" x14ac:dyDescent="0.2"/>
  <cols>
    <col min="1" max="1" width="15" customWidth="1"/>
    <col min="2" max="2" width="15.5703125" bestFit="1" customWidth="1"/>
    <col min="3" max="3" width="14.5703125" bestFit="1" customWidth="1"/>
    <col min="4" max="4" width="15.5703125" bestFit="1" customWidth="1"/>
    <col min="5" max="5" width="3.28515625" customWidth="1"/>
    <col min="6" max="6" width="7.42578125" customWidth="1"/>
    <col min="7" max="7" width="10.140625" customWidth="1"/>
    <col min="8" max="8" width="9.7109375" customWidth="1"/>
    <col min="10" max="10" width="9.7109375" customWidth="1"/>
    <col min="11" max="11" width="10" customWidth="1"/>
    <col min="19" max="19" width="8" customWidth="1"/>
    <col min="20" max="20" width="8.42578125" customWidth="1"/>
    <col min="21" max="21" width="10" bestFit="1" customWidth="1"/>
    <col min="22" max="22" width="9.28515625" bestFit="1" customWidth="1"/>
  </cols>
  <sheetData>
    <row r="1" spans="1:22" ht="18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5"/>
      <c r="T1" s="205"/>
      <c r="U1" s="205"/>
      <c r="V1" s="205"/>
    </row>
    <row r="2" spans="1:22" ht="15.75" x14ac:dyDescent="0.25">
      <c r="A2" s="206" t="s">
        <v>123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5"/>
      <c r="T2" s="205"/>
      <c r="U2" s="205"/>
      <c r="V2" s="205"/>
    </row>
    <row r="3" spans="1:22" ht="15.75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3"/>
      <c r="T3" s="153"/>
      <c r="U3" s="153"/>
      <c r="V3" s="153"/>
    </row>
    <row r="4" spans="1:22" ht="15.75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3"/>
      <c r="T4" s="153"/>
      <c r="U4" s="153"/>
      <c r="V4" s="153"/>
    </row>
    <row r="5" spans="1:22" ht="15.75" x14ac:dyDescent="0.25">
      <c r="A5" s="207" t="s">
        <v>12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5"/>
      <c r="T5" s="205"/>
      <c r="U5" s="205"/>
      <c r="V5" s="205"/>
    </row>
    <row r="7" spans="1:22" x14ac:dyDescent="0.2">
      <c r="B7" s="203" t="s">
        <v>5</v>
      </c>
      <c r="C7" s="203"/>
      <c r="D7" s="203"/>
      <c r="F7" s="16"/>
      <c r="T7" s="203" t="s">
        <v>5</v>
      </c>
      <c r="U7" s="203"/>
      <c r="V7" s="203"/>
    </row>
    <row r="8" spans="1:22" s="4" customFormat="1" ht="36" x14ac:dyDescent="0.2">
      <c r="A8" s="8" t="s">
        <v>1</v>
      </c>
      <c r="B8" s="8" t="s">
        <v>2</v>
      </c>
      <c r="C8" s="8" t="s">
        <v>3</v>
      </c>
      <c r="D8" s="8" t="s">
        <v>4</v>
      </c>
      <c r="E8" s="3"/>
      <c r="F8" s="2"/>
      <c r="T8" s="8" t="s">
        <v>9</v>
      </c>
      <c r="U8" s="8" t="s">
        <v>10</v>
      </c>
      <c r="V8" s="8" t="s">
        <v>11</v>
      </c>
    </row>
    <row r="9" spans="1:22" s="5" customFormat="1" ht="12" x14ac:dyDescent="0.2">
      <c r="A9" s="9">
        <v>41913</v>
      </c>
      <c r="B9" s="47">
        <v>758973630</v>
      </c>
      <c r="C9" s="47">
        <v>233811372</v>
      </c>
      <c r="D9" s="48">
        <f t="shared" ref="D9:D20" si="0">SUM(B9:C9)</f>
        <v>992785002</v>
      </c>
      <c r="T9" s="38">
        <f>(B9-'FY2014'!B9)/'FY2014'!B9</f>
        <v>0.10090416774487827</v>
      </c>
      <c r="U9" s="38">
        <f>(C9-'FY2014'!C9)/'FY2014'!C9</f>
        <v>0.18844036997185576</v>
      </c>
      <c r="V9" s="38">
        <f>(D9-'FY2014'!D9)/'FY2014'!D9</f>
        <v>0.1203385166154281</v>
      </c>
    </row>
    <row r="10" spans="1:22" s="5" customFormat="1" ht="12" x14ac:dyDescent="0.2">
      <c r="A10" s="9">
        <v>41944</v>
      </c>
      <c r="B10" s="47">
        <v>677167126.63999927</v>
      </c>
      <c r="C10" s="47">
        <v>241843205.16999984</v>
      </c>
      <c r="D10" s="48">
        <f t="shared" si="0"/>
        <v>919010331.80999911</v>
      </c>
      <c r="T10" s="38">
        <f>(B10-'FY2014'!B10)/'FY2014'!B10</f>
        <v>-2.3255607606068856E-2</v>
      </c>
      <c r="U10" s="38">
        <f>(C10-'FY2014'!C10)/'FY2014'!C10</f>
        <v>-5.1418102930955636E-3</v>
      </c>
      <c r="V10" s="38">
        <f>(D10-'FY2014'!D10)/'FY2014'!D10</f>
        <v>-1.855310955931638E-2</v>
      </c>
    </row>
    <row r="11" spans="1:22" s="5" customFormat="1" ht="12" x14ac:dyDescent="0.2">
      <c r="A11" s="9">
        <v>41974</v>
      </c>
      <c r="B11" s="47">
        <v>730514100.90999997</v>
      </c>
      <c r="C11" s="47">
        <v>204156942.19</v>
      </c>
      <c r="D11" s="48">
        <f t="shared" si="0"/>
        <v>934671043.0999999</v>
      </c>
      <c r="T11" s="38">
        <f>(B11-'FY2014'!B11)/'FY2014'!B11</f>
        <v>8.4612410509436853E-2</v>
      </c>
      <c r="U11" s="38">
        <f>(C11-'FY2014'!C11)/'FY2014'!C11</f>
        <v>-8.0534340816049085E-2</v>
      </c>
      <c r="V11" s="38">
        <f>(D11-'FY2014'!D11)/'FY2014'!D11</f>
        <v>4.3667307760874165E-2</v>
      </c>
    </row>
    <row r="12" spans="1:22" s="5" customFormat="1" ht="12" x14ac:dyDescent="0.2">
      <c r="A12" s="9">
        <v>42005</v>
      </c>
      <c r="B12" s="47">
        <v>718958290.85000098</v>
      </c>
      <c r="C12" s="47">
        <v>232141323.19000006</v>
      </c>
      <c r="D12" s="48">
        <f t="shared" si="0"/>
        <v>951099614.04000103</v>
      </c>
      <c r="T12" s="38">
        <f>(B12-'FY2014'!B12)/'FY2014'!B12</f>
        <v>5.3270206152672812E-2</v>
      </c>
      <c r="U12" s="38">
        <f>(C12-'FY2014'!C12)/'FY2014'!C12</f>
        <v>3.4427604169349819E-2</v>
      </c>
      <c r="V12" s="38">
        <f>(D12-'FY2014'!D12)/'FY2014'!D12</f>
        <v>4.8608118451492599E-2</v>
      </c>
    </row>
    <row r="13" spans="1:22" s="5" customFormat="1" ht="12" x14ac:dyDescent="0.2">
      <c r="A13" s="9">
        <v>42036</v>
      </c>
      <c r="B13" s="47">
        <v>668596431.94000006</v>
      </c>
      <c r="C13" s="47">
        <v>217065440.56</v>
      </c>
      <c r="D13" s="48">
        <f t="shared" si="0"/>
        <v>885661872.5</v>
      </c>
      <c r="T13" s="38">
        <f>(B13-'FY2014'!B13)/'FY2014'!B13</f>
        <v>3.2056388855064052E-2</v>
      </c>
      <c r="U13" s="38">
        <f>(C13-'FY2014'!C13)/'FY2014'!C13</f>
        <v>-8.3990118445427427E-3</v>
      </c>
      <c r="V13" s="38">
        <f>(D13-'FY2014'!D13)/'FY2014'!D13</f>
        <v>2.1838887178892315E-2</v>
      </c>
    </row>
    <row r="14" spans="1:22" s="5" customFormat="1" ht="12" x14ac:dyDescent="0.2">
      <c r="A14" s="9">
        <v>42064</v>
      </c>
      <c r="B14" s="47">
        <v>759367810.3299998</v>
      </c>
      <c r="C14" s="47">
        <v>224415244.11000001</v>
      </c>
      <c r="D14" s="48">
        <f t="shared" si="0"/>
        <v>983783054.43999982</v>
      </c>
      <c r="T14" s="38">
        <f>(B14-'FY2014'!B14)/'FY2014'!B14</f>
        <v>4.9088966425691979E-2</v>
      </c>
      <c r="U14" s="38">
        <f>(C14-'FY2014'!C14)/'FY2014'!C14</f>
        <v>-5.6883811044427982E-2</v>
      </c>
      <c r="V14" s="38">
        <f>(D14-'FY2014'!D14)/'FY2014'!D14</f>
        <v>2.2870764737171922E-2</v>
      </c>
    </row>
    <row r="15" spans="1:22" s="5" customFormat="1" ht="12" x14ac:dyDescent="0.2">
      <c r="A15" s="9">
        <v>42095</v>
      </c>
      <c r="B15" s="157">
        <v>762861402.02999997</v>
      </c>
      <c r="C15" s="47">
        <v>219083105.56</v>
      </c>
      <c r="D15" s="48">
        <f t="shared" si="0"/>
        <v>981944507.58999991</v>
      </c>
      <c r="T15" s="38">
        <f>(B15-'FY2014'!B15)/'FY2014'!B15</f>
        <v>3.7435731477045424E-2</v>
      </c>
      <c r="U15" s="38">
        <f>(C15-'FY2014'!C15)/'FY2014'!C15</f>
        <v>-5.2737697457996878E-3</v>
      </c>
      <c r="V15" s="38">
        <f>(D15-'FY2014'!D15)/'FY2014'!D15</f>
        <v>2.7591914035081877E-2</v>
      </c>
    </row>
    <row r="16" spans="1:22" s="5" customFormat="1" ht="12" x14ac:dyDescent="0.2">
      <c r="A16" s="9">
        <v>42125</v>
      </c>
      <c r="B16" s="47">
        <v>809506507.1700021</v>
      </c>
      <c r="C16" s="47">
        <v>235653980.90000015</v>
      </c>
      <c r="D16" s="48">
        <f t="shared" si="0"/>
        <v>1045160488.0700023</v>
      </c>
      <c r="T16" s="38">
        <f>(B16-'FY2014'!B16)/'FY2014'!B16</f>
        <v>2.3790068405576587E-2</v>
      </c>
      <c r="U16" s="38">
        <f>(C16-'FY2014'!C16)/'FY2014'!C16</f>
        <v>8.1678824734921253E-3</v>
      </c>
      <c r="V16" s="38">
        <f>(D16-'FY2014'!D16)/'FY2014'!D16</f>
        <v>2.0225582092596072E-2</v>
      </c>
    </row>
    <row r="17" spans="1:22" s="5" customFormat="1" ht="12" x14ac:dyDescent="0.2">
      <c r="A17" s="9">
        <v>42156</v>
      </c>
      <c r="B17" s="47">
        <v>796770122.57000005</v>
      </c>
      <c r="C17" s="47">
        <v>206057009.16</v>
      </c>
      <c r="D17" s="48">
        <f t="shared" si="0"/>
        <v>1002827131.73</v>
      </c>
      <c r="T17" s="38">
        <f>(B17-'FY2014'!B17)/'FY2014'!B17</f>
        <v>4.1913389726072378E-2</v>
      </c>
      <c r="U17" s="38">
        <f>(C17-'FY2014'!C17)/'FY2014'!C17</f>
        <v>-5.4195333594774457E-2</v>
      </c>
      <c r="V17" s="38">
        <f>(D17-'FY2014'!D17)/'FY2014'!D17</f>
        <v>2.0603570972684577E-2</v>
      </c>
    </row>
    <row r="18" spans="1:22" s="5" customFormat="1" ht="12" x14ac:dyDescent="0.2">
      <c r="A18" s="9">
        <v>42186</v>
      </c>
      <c r="B18" s="47">
        <v>815864536.90999877</v>
      </c>
      <c r="C18" s="47">
        <v>217376835.73999998</v>
      </c>
      <c r="D18" s="48">
        <f t="shared" si="0"/>
        <v>1033241372.6499988</v>
      </c>
      <c r="T18" s="38">
        <f>(B18-'FY2014'!B18)/'FY2014'!B18</f>
        <v>1.1041188520441638E-3</v>
      </c>
      <c r="U18" s="38">
        <f>(C18-'FY2014'!C18)/'FY2014'!C18</f>
        <v>3.7678633384099344E-3</v>
      </c>
      <c r="V18" s="38">
        <f>(D18-'FY2014'!D18)/'FY2014'!D18</f>
        <v>1.6633515234869207E-3</v>
      </c>
    </row>
    <row r="19" spans="1:22" s="5" customFormat="1" ht="12" x14ac:dyDescent="0.2">
      <c r="A19" s="9">
        <v>42217</v>
      </c>
      <c r="B19" s="47">
        <v>826734957.31999803</v>
      </c>
      <c r="C19" s="47">
        <v>227996759.49000019</v>
      </c>
      <c r="D19" s="48">
        <f t="shared" si="0"/>
        <v>1054731716.8099983</v>
      </c>
      <c r="T19" s="38">
        <f>(B19-'FY2014'!B19)/'FY2014'!B19</f>
        <v>-1.9522136932862161E-2</v>
      </c>
      <c r="U19" s="38">
        <f>(C19-'FY2014'!C19)/'FY2014'!C19</f>
        <v>-7.068040440927742E-2</v>
      </c>
      <c r="V19" s="38">
        <f>(D19-'FY2014'!D19)/'FY2014'!D19</f>
        <v>-3.105236005181123E-2</v>
      </c>
    </row>
    <row r="20" spans="1:22" s="5" customFormat="1" ht="12" x14ac:dyDescent="0.2">
      <c r="A20" s="9">
        <v>42248</v>
      </c>
      <c r="B20" s="47">
        <v>774204059.38000107</v>
      </c>
      <c r="C20" s="47">
        <v>214316897.97000006</v>
      </c>
      <c r="D20" s="48">
        <f t="shared" si="0"/>
        <v>988520957.3500011</v>
      </c>
      <c r="T20" s="38">
        <f>(B20-'FY2014'!B20)/'FY2014'!B20</f>
        <v>3.9289443251605799E-2</v>
      </c>
      <c r="U20" s="38">
        <f>(C20-'FY2014'!C20)/'FY2014'!C20</f>
        <v>-3.0229655299920779E-3</v>
      </c>
      <c r="V20" s="38">
        <f>(D20-'FY2014'!D20)/'FY2014'!D20</f>
        <v>2.981373223091327E-2</v>
      </c>
    </row>
    <row r="21" spans="1:22" s="6" customFormat="1" ht="12" x14ac:dyDescent="0.2">
      <c r="A21" s="108" t="s">
        <v>124</v>
      </c>
      <c r="B21" s="49">
        <f>SUM(B9:B20)</f>
        <v>9099518976.0499992</v>
      </c>
      <c r="C21" s="49">
        <f>SUM(C9:C20)</f>
        <v>2673918116.0400004</v>
      </c>
      <c r="D21" s="49">
        <f>SUM(D9:D20)</f>
        <v>11773437092.09</v>
      </c>
      <c r="T21" s="39">
        <f>AVERAGE(T9:T20)</f>
        <v>3.5057262238429775E-2</v>
      </c>
      <c r="U21" s="39">
        <f>AVERAGE(U9:U20)</f>
        <v>-4.1106439437376156E-3</v>
      </c>
      <c r="V21" s="39">
        <f>AVERAGE(V9:V20)</f>
        <v>2.5634689665624513E-2</v>
      </c>
    </row>
    <row r="22" spans="1:22" s="5" customFormat="1" ht="12" x14ac:dyDescent="0.2"/>
    <row r="23" spans="1:22" s="5" customFormat="1" x14ac:dyDescent="0.2">
      <c r="B23" s="202" t="s">
        <v>6</v>
      </c>
      <c r="C23" s="202"/>
      <c r="D23" s="202"/>
      <c r="T23" s="203" t="s">
        <v>6</v>
      </c>
      <c r="U23" s="203"/>
      <c r="V23" s="203"/>
    </row>
    <row r="24" spans="1:22" s="5" customFormat="1" ht="36" x14ac:dyDescent="0.2">
      <c r="A24" s="154" t="s">
        <v>1</v>
      </c>
      <c r="B24" s="154" t="s">
        <v>2</v>
      </c>
      <c r="C24" s="154" t="s">
        <v>3</v>
      </c>
      <c r="D24" s="154" t="s">
        <v>4</v>
      </c>
      <c r="T24" s="8" t="s">
        <v>9</v>
      </c>
      <c r="U24" s="8" t="s">
        <v>10</v>
      </c>
      <c r="V24" s="8" t="s">
        <v>11</v>
      </c>
    </row>
    <row r="25" spans="1:22" s="5" customFormat="1" ht="12" x14ac:dyDescent="0.2">
      <c r="A25" s="9">
        <v>41913</v>
      </c>
      <c r="B25" s="13">
        <v>7233510</v>
      </c>
      <c r="C25" s="13">
        <v>3312611</v>
      </c>
      <c r="D25" s="33">
        <f t="shared" ref="D25:D36" si="1">SUM(B25:C25)</f>
        <v>10546121</v>
      </c>
      <c r="T25" s="38">
        <f>(B25-'FY2014'!B25)/'FY2014'!B25</f>
        <v>0.17759839286164886</v>
      </c>
      <c r="U25" s="38">
        <f>(C25-'FY2014'!C25)/'FY2014'!C25</f>
        <v>0.20570822292752525</v>
      </c>
      <c r="V25" s="38">
        <f>(D25-'FY2014'!D25)/'FY2014'!D25</f>
        <v>0.18628565579325615</v>
      </c>
    </row>
    <row r="26" spans="1:22" s="5" customFormat="1" ht="12" x14ac:dyDescent="0.2">
      <c r="A26" s="9">
        <v>41944</v>
      </c>
      <c r="B26" s="13">
        <v>6533670</v>
      </c>
      <c r="C26" s="13">
        <v>3282201</v>
      </c>
      <c r="D26" s="33">
        <f t="shared" si="1"/>
        <v>9815871</v>
      </c>
      <c r="T26" s="38">
        <f>(B26-'FY2014'!B26)/'FY2014'!B26</f>
        <v>4.9761261242444114E-2</v>
      </c>
      <c r="U26" s="38">
        <f>(C26-'FY2014'!C26)/'FY2014'!C26</f>
        <v>7.2377352839364936E-3</v>
      </c>
      <c r="V26" s="38">
        <f>(D26-'FY2014'!D26)/'FY2014'!D26</f>
        <v>3.5148367943134425E-2</v>
      </c>
    </row>
    <row r="27" spans="1:22" s="5" customFormat="1" ht="12" x14ac:dyDescent="0.2">
      <c r="A27" s="9">
        <v>41974</v>
      </c>
      <c r="B27" s="13">
        <v>6821411</v>
      </c>
      <c r="C27" s="13">
        <v>2735486</v>
      </c>
      <c r="D27" s="33">
        <f t="shared" si="1"/>
        <v>9556897</v>
      </c>
      <c r="T27" s="38">
        <f>(B27-'FY2014'!B27)/'FY2014'!B27</f>
        <v>0.13284944207080571</v>
      </c>
      <c r="U27" s="38">
        <f>(C27-'FY2014'!C27)/'FY2014'!C27</f>
        <v>-8.8113884508057336E-2</v>
      </c>
      <c r="V27" s="38">
        <f>(D27-'FY2014'!D27)/'FY2014'!D27</f>
        <v>5.937332132911604E-2</v>
      </c>
    </row>
    <row r="28" spans="1:22" s="5" customFormat="1" ht="12" x14ac:dyDescent="0.2">
      <c r="A28" s="9">
        <v>42005</v>
      </c>
      <c r="B28" s="13">
        <v>7061569</v>
      </c>
      <c r="C28" s="13">
        <v>3208287</v>
      </c>
      <c r="D28" s="33">
        <f t="shared" si="1"/>
        <v>10269856</v>
      </c>
      <c r="T28" s="38">
        <f>(B28-'FY2014'!B28)/'FY2014'!B28</f>
        <v>8.188808500709123E-2</v>
      </c>
      <c r="U28" s="38">
        <f>(C28-'FY2014'!C28)/'FY2014'!C28</f>
        <v>3.3516373068611875E-2</v>
      </c>
      <c r="V28" s="38">
        <f>(D28-'FY2014'!D28)/'FY2014'!D28</f>
        <v>6.6297537731836012E-2</v>
      </c>
    </row>
    <row r="29" spans="1:22" s="5" customFormat="1" ht="12" x14ac:dyDescent="0.2">
      <c r="A29" s="9">
        <v>42036</v>
      </c>
      <c r="B29" s="13">
        <v>6701580</v>
      </c>
      <c r="C29" s="13">
        <v>3034091</v>
      </c>
      <c r="D29" s="33">
        <f t="shared" si="1"/>
        <v>9735671</v>
      </c>
      <c r="T29" s="38">
        <f>(B29-'FY2014'!B29)/'FY2014'!B29</f>
        <v>7.4133134499930198E-2</v>
      </c>
      <c r="U29" s="38">
        <f>(C29-'FY2014'!C29)/'FY2014'!C29</f>
        <v>1.9483170463965173E-2</v>
      </c>
      <c r="V29" s="38">
        <f>(D29-'FY2014'!D29)/'FY2014'!D29</f>
        <v>5.6483518582302258E-2</v>
      </c>
    </row>
    <row r="30" spans="1:22" s="5" customFormat="1" ht="12" x14ac:dyDescent="0.2">
      <c r="A30" s="9">
        <v>42064</v>
      </c>
      <c r="B30" s="13">
        <v>7778649</v>
      </c>
      <c r="C30" s="13">
        <v>3104244</v>
      </c>
      <c r="D30" s="33">
        <f t="shared" si="1"/>
        <v>10882893</v>
      </c>
      <c r="T30" s="38">
        <f>(B30-'FY2014'!B30)/'FY2014'!B30</f>
        <v>9.3517771625398649E-2</v>
      </c>
      <c r="U30" s="38">
        <f>(C30-'FY2014'!C30)/'FY2014'!C30</f>
        <v>-6.0422153286251189E-2</v>
      </c>
      <c r="V30" s="38">
        <f>(D30-'FY2014'!D30)/'FY2014'!D30</f>
        <v>4.4695313723176922E-2</v>
      </c>
    </row>
    <row r="31" spans="1:22" s="5" customFormat="1" ht="12" x14ac:dyDescent="0.2">
      <c r="A31" s="9">
        <v>42095</v>
      </c>
      <c r="B31" s="13">
        <v>7675484</v>
      </c>
      <c r="C31" s="13">
        <v>3185402</v>
      </c>
      <c r="D31" s="33">
        <f t="shared" si="1"/>
        <v>10860886</v>
      </c>
      <c r="T31" s="38">
        <f>(B31-'FY2014'!B31)/'FY2014'!B31</f>
        <v>6.9391243359568811E-2</v>
      </c>
      <c r="U31" s="38">
        <f>(C31-'FY2014'!C31)/'FY2014'!C31</f>
        <v>1.0517573490410654E-2</v>
      </c>
      <c r="V31" s="38">
        <f>(D31-'FY2014'!D31)/'FY2014'!D31</f>
        <v>5.1425111772570711E-2</v>
      </c>
    </row>
    <row r="32" spans="1:22" s="5" customFormat="1" ht="12" x14ac:dyDescent="0.2">
      <c r="A32" s="9">
        <v>42125</v>
      </c>
      <c r="B32" s="13">
        <v>8024648</v>
      </c>
      <c r="C32" s="13">
        <v>3364797</v>
      </c>
      <c r="D32" s="33">
        <f t="shared" si="1"/>
        <v>11389445</v>
      </c>
      <c r="T32" s="38">
        <f>(B32-'FY2014'!B32)/'FY2014'!B32</f>
        <v>6.4269159840345993E-2</v>
      </c>
      <c r="U32" s="38">
        <f>(C32-'FY2014'!C32)/'FY2014'!C32</f>
        <v>1.2795097836189999E-2</v>
      </c>
      <c r="V32" s="38">
        <f>(D32-'FY2014'!D32)/'FY2014'!D32</f>
        <v>4.8525626561414972E-2</v>
      </c>
    </row>
    <row r="33" spans="1:22" s="5" customFormat="1" ht="12" x14ac:dyDescent="0.2">
      <c r="A33" s="9">
        <v>42156</v>
      </c>
      <c r="B33" s="13">
        <v>8004533</v>
      </c>
      <c r="C33" s="13">
        <v>3038079</v>
      </c>
      <c r="D33" s="33">
        <f t="shared" si="1"/>
        <v>11042612</v>
      </c>
      <c r="T33" s="38">
        <f>(B33-'FY2014'!B33)/'FY2014'!B33</f>
        <v>8.8518956701479551E-2</v>
      </c>
      <c r="U33" s="38">
        <f>(C33-'FY2014'!C33)/'FY2014'!C33</f>
        <v>-2.8162093741213142E-2</v>
      </c>
      <c r="V33" s="38">
        <f>(D33-'FY2014'!D33)/'FY2014'!D33</f>
        <v>5.371280541258891E-2</v>
      </c>
    </row>
    <row r="34" spans="1:22" s="5" customFormat="1" ht="12" x14ac:dyDescent="0.2">
      <c r="A34" s="9">
        <v>42186</v>
      </c>
      <c r="B34" s="13">
        <v>8356658</v>
      </c>
      <c r="C34" s="13">
        <v>3156518</v>
      </c>
      <c r="D34" s="33">
        <f t="shared" si="1"/>
        <v>11513176</v>
      </c>
      <c r="T34" s="38">
        <f>(B34-'FY2014'!B34)/'FY2014'!B34</f>
        <v>6.1310493332088718E-2</v>
      </c>
      <c r="U34" s="38">
        <f>(C34-'FY2014'!C34)/'FY2014'!C34</f>
        <v>1.5051881026886422E-2</v>
      </c>
      <c r="V34" s="38">
        <f>(D34-'FY2014'!D34)/'FY2014'!D34</f>
        <v>4.8213630192461207E-2</v>
      </c>
    </row>
    <row r="35" spans="1:22" s="5" customFormat="1" ht="12" x14ac:dyDescent="0.2">
      <c r="A35" s="9">
        <v>42217</v>
      </c>
      <c r="B35" s="13">
        <v>8057584</v>
      </c>
      <c r="C35" s="13">
        <v>3277573</v>
      </c>
      <c r="D35" s="33">
        <f t="shared" si="1"/>
        <v>11335157</v>
      </c>
      <c r="T35" s="38">
        <f>(B35-'FY2014'!B35)/'FY2014'!B35</f>
        <v>3.9491358282069927E-2</v>
      </c>
      <c r="U35" s="38">
        <f>(C35-'FY2014'!C35)/'FY2014'!C35</f>
        <v>-2.5008314389218127E-2</v>
      </c>
      <c r="V35" s="38">
        <f>(D35-'FY2014'!D35)/'FY2014'!D35</f>
        <v>1.9980635483676488E-2</v>
      </c>
    </row>
    <row r="36" spans="1:22" s="5" customFormat="1" ht="12" x14ac:dyDescent="0.2">
      <c r="A36" s="9">
        <v>42248</v>
      </c>
      <c r="B36" s="13">
        <v>7564648</v>
      </c>
      <c r="C36" s="13">
        <v>3119420</v>
      </c>
      <c r="D36" s="33">
        <f t="shared" si="1"/>
        <v>10684068</v>
      </c>
      <c r="T36" s="38">
        <f>(B36-'FY2014'!B36)/'FY2014'!B36</f>
        <v>6.8820401135022816E-2</v>
      </c>
      <c r="U36" s="38">
        <f>(C36-'FY2014'!C36)/'FY2014'!C36</f>
        <v>9.2669224382987067E-3</v>
      </c>
      <c r="V36" s="38">
        <f>(D36-'FY2014'!D36)/'FY2014'!D36</f>
        <v>5.0718479752604774E-2</v>
      </c>
    </row>
    <row r="37" spans="1:22" s="6" customFormat="1" ht="12" x14ac:dyDescent="0.2">
      <c r="A37" s="108" t="s">
        <v>124</v>
      </c>
      <c r="B37" s="40">
        <f>SUM(B25:B36)</f>
        <v>89813944</v>
      </c>
      <c r="C37" s="40">
        <f>SUM(C25:C36)</f>
        <v>37818709</v>
      </c>
      <c r="D37" s="40">
        <f>SUM(D25:D36)</f>
        <v>127632653</v>
      </c>
      <c r="T37" s="39">
        <f>AVERAGE(T25:T36)</f>
        <v>8.3462474996491218E-2</v>
      </c>
      <c r="U37" s="39">
        <f>AVERAGE(U25:U36)</f>
        <v>9.3225442175903974E-3</v>
      </c>
      <c r="V37" s="39">
        <f>AVERAGE(V25:V36)</f>
        <v>6.0071667023178232E-2</v>
      </c>
    </row>
    <row r="38" spans="1:22" s="6" customFormat="1" ht="12" x14ac:dyDescent="0.2">
      <c r="A38" s="17"/>
      <c r="B38" s="85"/>
      <c r="C38" s="85"/>
      <c r="D38" s="85"/>
      <c r="T38" s="51"/>
      <c r="U38" s="51"/>
      <c r="V38" s="51"/>
    </row>
    <row r="39" spans="1:22" s="6" customFormat="1" ht="12" x14ac:dyDescent="0.2">
      <c r="A39" s="17"/>
      <c r="B39" s="17"/>
      <c r="C39" s="17"/>
      <c r="D39" s="17"/>
      <c r="T39" s="18"/>
      <c r="U39" s="18"/>
      <c r="V39" s="18"/>
    </row>
    <row r="40" spans="1:22" s="6" customFormat="1" x14ac:dyDescent="0.2">
      <c r="A40" s="5"/>
      <c r="B40" s="202" t="s">
        <v>29</v>
      </c>
      <c r="C40" s="202"/>
      <c r="D40" s="202"/>
      <c r="T40" s="203" t="s">
        <v>29</v>
      </c>
      <c r="U40" s="203"/>
      <c r="V40" s="203"/>
    </row>
    <row r="41" spans="1:22" s="6" customFormat="1" ht="36" x14ac:dyDescent="0.2">
      <c r="A41" s="154" t="s">
        <v>1</v>
      </c>
      <c r="B41" s="154" t="s">
        <v>2</v>
      </c>
      <c r="C41" s="154" t="s">
        <v>3</v>
      </c>
      <c r="D41" s="154" t="s">
        <v>4</v>
      </c>
      <c r="T41" s="8" t="s">
        <v>9</v>
      </c>
      <c r="U41" s="8" t="s">
        <v>10</v>
      </c>
      <c r="V41" s="8" t="s">
        <v>11</v>
      </c>
    </row>
    <row r="42" spans="1:22" s="6" customFormat="1" ht="12" x14ac:dyDescent="0.2">
      <c r="A42" s="9">
        <v>41913</v>
      </c>
      <c r="B42" s="86">
        <f t="shared" ref="B42:D53" si="2">B9/B25</f>
        <v>104.92466727771165</v>
      </c>
      <c r="C42" s="86">
        <f t="shared" si="2"/>
        <v>70.58219996250692</v>
      </c>
      <c r="D42" s="86">
        <f t="shared" si="2"/>
        <v>94.13745603715337</v>
      </c>
      <c r="T42" s="38">
        <f>(B42-'FY2014'!B42)/'FY2014'!B42</f>
        <v>-6.5127657766582192E-2</v>
      </c>
      <c r="U42" s="38">
        <f>(C42-'FY2014'!C42)/'FY2014'!C42</f>
        <v>-1.4321751006841599E-2</v>
      </c>
      <c r="V42" s="38">
        <f>(D42-'FY2014'!D42)/'FY2014'!D42</f>
        <v>-5.5591280949721968E-2</v>
      </c>
    </row>
    <row r="43" spans="1:22" s="6" customFormat="1" ht="12" x14ac:dyDescent="0.2">
      <c r="A43" s="9">
        <v>41944</v>
      </c>
      <c r="B43" s="86">
        <f t="shared" si="2"/>
        <v>103.64268881654557</v>
      </c>
      <c r="C43" s="86">
        <f t="shared" si="2"/>
        <v>73.68324035304353</v>
      </c>
      <c r="D43" s="86">
        <f t="shared" si="2"/>
        <v>93.624939835700687</v>
      </c>
      <c r="T43" s="38">
        <f>(B43-'FY2014'!B43)/'FY2014'!B43</f>
        <v>-6.9555689988115885E-2</v>
      </c>
      <c r="U43" s="38">
        <f>(C43-'FY2014'!C43)/'FY2014'!C43</f>
        <v>-1.2290589543433185E-2</v>
      </c>
      <c r="V43" s="38">
        <f>(D43-'FY2014'!D43)/'FY2014'!D43</f>
        <v>-5.187804875658257E-2</v>
      </c>
    </row>
    <row r="44" spans="1:22" s="6" customFormat="1" ht="12" x14ac:dyDescent="0.2">
      <c r="A44" s="9">
        <v>41974</v>
      </c>
      <c r="B44" s="86">
        <f t="shared" si="2"/>
        <v>107.09134824305411</v>
      </c>
      <c r="C44" s="86">
        <f t="shared" si="2"/>
        <v>74.632786345826659</v>
      </c>
      <c r="D44" s="86">
        <f t="shared" si="2"/>
        <v>97.800681863579769</v>
      </c>
      <c r="T44" s="38">
        <f>(B44-'FY2014'!B44)/'FY2014'!B44</f>
        <v>-4.258026686511257E-2</v>
      </c>
      <c r="U44" s="38">
        <f>(C44-'FY2014'!C44)/'FY2014'!C44</f>
        <v>8.3119411111103759E-3</v>
      </c>
      <c r="V44" s="38">
        <f>(D44-'FY2014'!D44)/'FY2014'!D44</f>
        <v>-1.4825759014335629E-2</v>
      </c>
    </row>
    <row r="45" spans="1:22" s="6" customFormat="1" ht="12" x14ac:dyDescent="0.2">
      <c r="A45" s="9">
        <v>42005</v>
      </c>
      <c r="B45" s="86">
        <f t="shared" si="2"/>
        <v>101.81282528712825</v>
      </c>
      <c r="C45" s="86">
        <f t="shared" si="2"/>
        <v>72.356782042878351</v>
      </c>
      <c r="D45" s="86">
        <f t="shared" si="2"/>
        <v>92.610803310192566</v>
      </c>
      <c r="T45" s="38">
        <f>(B45-'FY2014'!B45)/'FY2014'!B45</f>
        <v>-2.6451792242661431E-2</v>
      </c>
      <c r="U45" s="38">
        <f>(C45-'FY2014'!C45)/'FY2014'!C45</f>
        <v>8.8168037244769251E-4</v>
      </c>
      <c r="V45" s="38">
        <f>(D45-'FY2014'!D45)/'FY2014'!D45</f>
        <v>-1.658957153551277E-2</v>
      </c>
    </row>
    <row r="46" spans="1:22" s="6" customFormat="1" ht="12" x14ac:dyDescent="0.2">
      <c r="A46" s="9">
        <v>42036</v>
      </c>
      <c r="B46" s="86">
        <f t="shared" si="2"/>
        <v>99.766985090083239</v>
      </c>
      <c r="C46" s="86">
        <f t="shared" si="2"/>
        <v>71.542165531620512</v>
      </c>
      <c r="D46" s="86">
        <f t="shared" si="2"/>
        <v>90.970809562073327</v>
      </c>
      <c r="T46" s="38">
        <f>(B46-'FY2014'!B46)/'FY2014'!B46</f>
        <v>-3.9172747114309299E-2</v>
      </c>
      <c r="U46" s="38">
        <f>(C46-'FY2014'!C46)/'FY2014'!C46</f>
        <v>-2.7349330637619788E-2</v>
      </c>
      <c r="V46" s="38">
        <f>(D46-'FY2014'!D46)/'FY2014'!D46</f>
        <v>-3.2792401200824807E-2</v>
      </c>
    </row>
    <row r="47" spans="1:22" s="6" customFormat="1" ht="12" x14ac:dyDescent="0.2">
      <c r="A47" s="9">
        <v>42064</v>
      </c>
      <c r="B47" s="86">
        <f t="shared" si="2"/>
        <v>97.622069118943386</v>
      </c>
      <c r="C47" s="86">
        <f t="shared" si="2"/>
        <v>72.293042721512876</v>
      </c>
      <c r="D47" s="86">
        <f t="shared" si="2"/>
        <v>90.397199939391101</v>
      </c>
      <c r="T47" s="38">
        <f>(B47-'FY2014'!B47)/'FY2014'!B47</f>
        <v>-4.0629248424255505E-2</v>
      </c>
      <c r="U47" s="38">
        <f>(C47-'FY2014'!C47)/'FY2014'!C47</f>
        <v>3.7658851304326942E-3</v>
      </c>
      <c r="V47" s="38">
        <f>(D47-'FY2014'!D47)/'FY2014'!D47</f>
        <v>-2.0890826922755894E-2</v>
      </c>
    </row>
    <row r="48" spans="1:22" s="6" customFormat="1" ht="12" x14ac:dyDescent="0.2">
      <c r="A48" s="9">
        <v>42095</v>
      </c>
      <c r="B48" s="86">
        <f t="shared" si="2"/>
        <v>99.389354733851306</v>
      </c>
      <c r="C48" s="86">
        <f t="shared" si="2"/>
        <v>68.777223584338813</v>
      </c>
      <c r="D48" s="86">
        <f t="shared" si="2"/>
        <v>90.411086866209615</v>
      </c>
      <c r="T48" s="38">
        <f>(B48-'FY2014'!B48)/'FY2014'!B48</f>
        <v>-2.9881965165651513E-2</v>
      </c>
      <c r="U48" s="38">
        <f>(C48-'FY2014'!C48)/'FY2014'!C48</f>
        <v>-1.5626985270197426E-2</v>
      </c>
      <c r="V48" s="38">
        <f>(D48-'FY2014'!D48)/'FY2014'!D48</f>
        <v>-2.2667518086294431E-2</v>
      </c>
    </row>
    <row r="49" spans="1:22" s="6" customFormat="1" ht="12" x14ac:dyDescent="0.2">
      <c r="A49" s="9">
        <v>42125</v>
      </c>
      <c r="B49" s="86">
        <f t="shared" si="2"/>
        <v>100.87750978859161</v>
      </c>
      <c r="C49" s="86">
        <f t="shared" si="2"/>
        <v>70.035125714864861</v>
      </c>
      <c r="D49" s="86">
        <f t="shared" si="2"/>
        <v>91.765708343997645</v>
      </c>
      <c r="T49" s="38">
        <f>(B49-'FY2014'!B49)/'FY2014'!B49</f>
        <v>-3.8034637253645281E-2</v>
      </c>
      <c r="U49" s="38">
        <f>(C49-'FY2014'!C49)/'FY2014'!C49</f>
        <v>-4.5687576614300085E-3</v>
      </c>
      <c r="V49" s="38">
        <f>(D49-'FY2014'!D49)/'FY2014'!D49</f>
        <v>-2.699032217422041E-2</v>
      </c>
    </row>
    <row r="50" spans="1:22" s="6" customFormat="1" ht="12" x14ac:dyDescent="0.2">
      <c r="A50" s="9">
        <v>42156</v>
      </c>
      <c r="B50" s="86">
        <f t="shared" si="2"/>
        <v>99.539863546068219</v>
      </c>
      <c r="C50" s="86">
        <f t="shared" si="2"/>
        <v>67.824769915463023</v>
      </c>
      <c r="D50" s="86">
        <f t="shared" si="2"/>
        <v>90.814304779521365</v>
      </c>
      <c r="T50" s="38">
        <f>(B50-'FY2014'!B50)/'FY2014'!B50</f>
        <v>-4.2815576787596926E-2</v>
      </c>
      <c r="U50" s="38">
        <f>(C50-'FY2014'!C50)/'FY2014'!C50</f>
        <v>-2.678763576302514E-2</v>
      </c>
      <c r="V50" s="38">
        <f>(D50-'FY2014'!D50)/'FY2014'!D50</f>
        <v>-3.1421497650814131E-2</v>
      </c>
    </row>
    <row r="51" spans="1:22" s="6" customFormat="1" ht="12" x14ac:dyDescent="0.2">
      <c r="A51" s="9">
        <v>42186</v>
      </c>
      <c r="B51" s="86">
        <f t="shared" si="2"/>
        <v>97.630480619166036</v>
      </c>
      <c r="C51" s="86">
        <f t="shared" si="2"/>
        <v>68.866021274074782</v>
      </c>
      <c r="D51" s="86">
        <f t="shared" si="2"/>
        <v>89.744252380924152</v>
      </c>
      <c r="T51" s="38">
        <f>(B51-'FY2014'!B51)/'FY2014'!B51</f>
        <v>-5.6728332432689585E-2</v>
      </c>
      <c r="U51" s="38">
        <f>(C51-'FY2014'!C51)/'FY2014'!C51</f>
        <v>-1.1116690584387561E-2</v>
      </c>
      <c r="V51" s="38">
        <f>(D51-'FY2014'!D51)/'FY2014'!D51</f>
        <v>-4.4409152226371269E-2</v>
      </c>
    </row>
    <row r="52" spans="1:22" s="6" customFormat="1" ht="12" x14ac:dyDescent="0.2">
      <c r="A52" s="9">
        <v>42217</v>
      </c>
      <c r="B52" s="86">
        <f t="shared" si="2"/>
        <v>102.60333088925887</v>
      </c>
      <c r="C52" s="86">
        <f t="shared" si="2"/>
        <v>69.562679302642593</v>
      </c>
      <c r="D52" s="86">
        <f t="shared" si="2"/>
        <v>93.049590474132671</v>
      </c>
      <c r="T52" s="38">
        <f>(B52-'FY2014'!B52)/'FY2014'!B52</f>
        <v>-5.6771511128732736E-2</v>
      </c>
      <c r="U52" s="38">
        <f>(C52-'FY2014'!C52)/'FY2014'!C52</f>
        <v>-4.6843568713560997E-2</v>
      </c>
      <c r="V52" s="38">
        <f>(D52-'FY2014'!D52)/'FY2014'!D52</f>
        <v>-5.0033298437364704E-2</v>
      </c>
    </row>
    <row r="53" spans="1:22" s="6" customFormat="1" ht="12" x14ac:dyDescent="0.2">
      <c r="A53" s="9">
        <v>42248</v>
      </c>
      <c r="B53" s="86">
        <f t="shared" si="2"/>
        <v>102.34502112722245</v>
      </c>
      <c r="C53" s="86">
        <f t="shared" si="2"/>
        <v>68.704085365228167</v>
      </c>
      <c r="D53" s="86">
        <f t="shared" si="2"/>
        <v>92.522900205240276</v>
      </c>
      <c r="T53" s="38">
        <f>(B53-'FY2014'!B53)/'FY2014'!B53</f>
        <v>-2.7629485601188865E-2</v>
      </c>
      <c r="U53" s="38">
        <f>(C53-'FY2014'!C53)/'FY2014'!C53</f>
        <v>-1.2177044243756286E-2</v>
      </c>
      <c r="V53" s="38">
        <f>(D53-'FY2014'!D53)/'FY2014'!D53</f>
        <v>-1.989566941528768E-2</v>
      </c>
    </row>
    <row r="54" spans="1:22" s="6" customFormat="1" ht="12" x14ac:dyDescent="0.2">
      <c r="A54" s="108" t="s">
        <v>124</v>
      </c>
      <c r="B54" s="87">
        <f>B21/B37</f>
        <v>101.31521421718213</v>
      </c>
      <c r="C54" s="87">
        <f>C21/C37</f>
        <v>70.703579967259074</v>
      </c>
      <c r="D54" s="87">
        <f>D21/D37</f>
        <v>92.244710231714762</v>
      </c>
      <c r="T54" s="39">
        <f>AVERAGE(T42:T53)</f>
        <v>-4.4614909230878484E-2</v>
      </c>
      <c r="U54" s="39">
        <f>AVERAGE(U42:U53)</f>
        <v>-1.3176903900855103E-2</v>
      </c>
      <c r="V54" s="39">
        <f>AVERAGE(V42:V53)</f>
        <v>-3.2332112197507187E-2</v>
      </c>
    </row>
    <row r="55" spans="1:22" s="6" customFormat="1" ht="12" x14ac:dyDescent="0.2">
      <c r="A55" s="17"/>
      <c r="B55" s="84"/>
      <c r="C55" s="84"/>
      <c r="D55" s="84"/>
      <c r="T55" s="18"/>
      <c r="U55" s="18"/>
      <c r="V55" s="18"/>
    </row>
    <row r="56" spans="1:22" s="5" customFormat="1" ht="13.5" customHeight="1" x14ac:dyDescent="0.2"/>
    <row r="57" spans="1:22" s="5" customFormat="1" x14ac:dyDescent="0.2">
      <c r="B57" s="202" t="s">
        <v>7</v>
      </c>
      <c r="C57" s="202"/>
      <c r="D57" s="202"/>
      <c r="T57" s="203" t="s">
        <v>7</v>
      </c>
      <c r="U57" s="203"/>
      <c r="V57" s="203"/>
    </row>
    <row r="58" spans="1:22" s="5" customFormat="1" ht="36" x14ac:dyDescent="0.2">
      <c r="A58" s="154" t="s">
        <v>1</v>
      </c>
      <c r="B58" s="154" t="s">
        <v>2</v>
      </c>
      <c r="C58" s="154" t="s">
        <v>3</v>
      </c>
      <c r="D58" s="154" t="s">
        <v>4</v>
      </c>
      <c r="T58" s="8" t="s">
        <v>9</v>
      </c>
      <c r="U58" s="8" t="s">
        <v>10</v>
      </c>
      <c r="V58" s="8" t="s">
        <v>11</v>
      </c>
    </row>
    <row r="59" spans="1:22" s="5" customFormat="1" ht="12" x14ac:dyDescent="0.2">
      <c r="A59" s="9">
        <v>41913</v>
      </c>
      <c r="B59" s="43">
        <f>8793730+3071703+372467+55149.48+116927.75+103439.04+91595.5</f>
        <v>12605011.77</v>
      </c>
      <c r="C59" s="41">
        <f>15827.36+23.98+59026.01+177.8+2943.36+4809.75+18713.38+40715.59+1710.24+348.06+2076.52+14203.9+82.35+527578+457.5+2938.07+9641.35+32.18+528.23+21173.84+31957.2+497.52+5438.88+5.16+9675.24+98631.2</f>
        <v>869212.66999999993</v>
      </c>
      <c r="D59" s="41">
        <f>SUM(B59:C59)</f>
        <v>13474224.439999999</v>
      </c>
      <c r="T59" s="38">
        <f>(B59-'FY2014'!B59)/'FY2014'!B59</f>
        <v>0.1246119821280525</v>
      </c>
      <c r="U59" s="38">
        <f>(C59-'FY2014'!C59)/'FY2014'!C59</f>
        <v>0.20230811852947517</v>
      </c>
      <c r="V59" s="38">
        <f>(D59-'FY2014'!D59)/'FY2014'!D59</f>
        <v>0.12931983487547172</v>
      </c>
    </row>
    <row r="60" spans="1:22" s="5" customFormat="1" ht="12" x14ac:dyDescent="0.2">
      <c r="A60" s="9">
        <v>41944</v>
      </c>
      <c r="B60" s="43">
        <f>2625205.61+7768416+337458.56+52487.19+111248.52+103030.69+91252.35</f>
        <v>11089098.919999998</v>
      </c>
      <c r="C60" s="41">
        <f>12352.12+22.25+56347.81+2666.16+4705.53+18185.1+39393.65+1680.21+460.06+2008.86+16624.39+77.42+506063.12+427.25+2797.33+9616.81+33.68+525.25+22118.57+31372.86+443.04+4772.98+5.13+9403.8+96454.58</f>
        <v>838557.96</v>
      </c>
      <c r="D60" s="41">
        <f>SUM(B60:C60)</f>
        <v>11927656.879999999</v>
      </c>
      <c r="T60" s="38">
        <f>(B60-'FY2014'!B60)/'FY2014'!B60</f>
        <v>2.2548664301627833E-4</v>
      </c>
      <c r="U60" s="38">
        <f>(C60-'FY2014'!C60)/'FY2014'!C60</f>
        <v>2.5762661458378855E-2</v>
      </c>
      <c r="V60" s="38">
        <f>(D60-'FY2014'!D60)/'FY2014'!D60</f>
        <v>1.9792162128124506E-3</v>
      </c>
    </row>
    <row r="61" spans="1:22" s="5" customFormat="1" ht="12" x14ac:dyDescent="0.2">
      <c r="A61" s="9">
        <v>41974</v>
      </c>
      <c r="B61" s="43">
        <f>8362722.28+350933.54+2727831.64+121471.57+107521.97+59471+126002.99</f>
        <v>11855954.990000002</v>
      </c>
      <c r="C61" s="41">
        <f>11271.81+18.29+46932.76+2360.96+4731.38+17266.37+526.81+1771.04+16681.07+6.16+40857.31+382.25+2291.94+8863.44+27.68+223214.02+18561.02+27101.41+376.25+2.27+0.27+4173.48+7128.06+8527.43+86325.67+202410.15+1713.17+13.62</f>
        <v>733536.09000000008</v>
      </c>
      <c r="D61" s="41">
        <f>SUM(B61:C61)</f>
        <v>12589491.080000002</v>
      </c>
      <c r="T61" s="38">
        <f>(B61-'FY2014'!B61)/'FY2014'!B61</f>
        <v>9.1305129417203271E-2</v>
      </c>
      <c r="U61" s="38">
        <f>(C61-'FY2014'!C61)/'FY2014'!C61</f>
        <v>-7.9662686559411264E-2</v>
      </c>
      <c r="V61" s="38">
        <f>(D61-'FY2014'!D61)/'FY2014'!D61</f>
        <v>7.9619519806765182E-2</v>
      </c>
    </row>
    <row r="62" spans="1:22" s="5" customFormat="1" ht="12" x14ac:dyDescent="0.2">
      <c r="A62" s="9">
        <v>42005</v>
      </c>
      <c r="B62" s="43">
        <f>8190710.04+341853.79+2661796.7+93792.59+82969.57+48342.73+102475.86</f>
        <v>11521941.280000001</v>
      </c>
      <c r="C62" s="43">
        <f>12370.52+27.01+51394.22+2541.7+4631.28+18352.7+246617.3+1746.47+585.33+2068.02+17131.19+9.84+33086.37+419.75+2504.03+9736.88+30.78+65775.21+20312.96+28389.85+487.49+1.75+5.17+4767.86+11.02+212879.85+9611.56+97071.36</f>
        <v>842567.47000000009</v>
      </c>
      <c r="D62" s="41">
        <f>SUM(B62:C62)</f>
        <v>12364508.750000002</v>
      </c>
      <c r="T62" s="38">
        <f>(B62-'FY2014'!B62)/'FY2014'!B62</f>
        <v>5.8803083857532419E-2</v>
      </c>
      <c r="U62" s="38">
        <f>(C62-'FY2014'!C62)/'FY2014'!C62</f>
        <v>4.6515887292122499E-2</v>
      </c>
      <c r="V62" s="38">
        <f>(D62-'FY2014'!D62)/'FY2014'!D62</f>
        <v>5.7956631211812416E-2</v>
      </c>
    </row>
    <row r="63" spans="1:22" s="5" customFormat="1" ht="12" x14ac:dyDescent="0.2">
      <c r="A63" s="9">
        <v>42036</v>
      </c>
      <c r="B63" s="43">
        <f>7581702.45+317042.12+2413028.37+83749.35+74057.58+44130.97+93473.04</f>
        <v>10607183.880000001</v>
      </c>
      <c r="C63" s="43">
        <f>11115+47200.21+2201.78+4216.03+17420.81+232315.72+1605.83+556.41+1950.38+16572.17+5.09+34318.51+46.2+8878.38+32.24+2665.36+18606.05+18085.16+414.12+4285.73+14.58+255990.61+8794.72+89596.59</f>
        <v>776887.67999999982</v>
      </c>
      <c r="D63" s="41">
        <f>SUM(B63:C63)</f>
        <v>11384071.560000001</v>
      </c>
      <c r="T63" s="38">
        <f>(B63-'FY2014'!B63)/'FY2014'!B63</f>
        <v>4.23132211410907E-2</v>
      </c>
      <c r="U63" s="38">
        <f>(C63-'FY2014'!C63)/'FY2014'!C63</f>
        <v>2.3710116328334956E-2</v>
      </c>
      <c r="V63" s="38">
        <f>(D63-'FY2014'!D63)/'FY2014'!D63</f>
        <v>4.1022212789800873E-2</v>
      </c>
    </row>
    <row r="64" spans="1:22" s="5" customFormat="1" ht="12" x14ac:dyDescent="0.2">
      <c r="A64" s="9">
        <v>42064</v>
      </c>
      <c r="B64" s="43">
        <f>8613787.59+387154.25+2895286.2+99340.92+87792+53135.06+112513.69</f>
        <v>12249009.709999999</v>
      </c>
      <c r="C64" s="43">
        <f>9683.72+49842.42+2282.14+4509.73+18512.19+250593.1+1932.49+812.78+1994.14+19585.76+9.44+35882.64+24.3+2313.23+9813.26+28.46+2944.68+19897.56+15146.15+442.25+1.33+112+4859.32+13.99+270038+9356.38+97959.9</f>
        <v>828591.3600000001</v>
      </c>
      <c r="D64" s="41">
        <f t="shared" ref="D64:D70" si="3">SUM(B64:C64)</f>
        <v>13077601.069999998</v>
      </c>
      <c r="T64" s="38">
        <f>(B64-'FY2014'!B64)/'FY2014'!B64</f>
        <v>7.927839938690609E-2</v>
      </c>
      <c r="U64" s="38">
        <f>(C64-'FY2014'!C64)/'FY2014'!C64</f>
        <v>-9.0454665468212674E-3</v>
      </c>
      <c r="V64" s="38">
        <f>(D64-'FY2014'!D64)/'FY2014'!D64</f>
        <v>7.3217675859535883E-2</v>
      </c>
    </row>
    <row r="65" spans="1:22" s="5" customFormat="1" ht="12" x14ac:dyDescent="0.2">
      <c r="A65" s="9">
        <v>42095</v>
      </c>
      <c r="B65" s="43">
        <f>8865666.45+373088.76+194553.72+110040.22+86118.31+121723+2966525.38</f>
        <v>12717715.84</v>
      </c>
      <c r="C65" s="43">
        <f>34441.06+14.9+49593.14+519.4+4471.78+21911.29+259879.13+1843.01+677.72+2050.46+11484.72+10.92+34935.31+15.6+2337.03+9898.32+36.48+2864.78+19988.87+5757.36+453+0.54+4840.24+16.86+274223.07+9227.66+85071.41</f>
        <v>836564.06</v>
      </c>
      <c r="D65" s="43">
        <f t="shared" si="3"/>
        <v>13554279.9</v>
      </c>
      <c r="T65" s="38">
        <f>(B65-'FY2014'!B65)/'FY2014'!B65</f>
        <v>7.1445972674767363E-2</v>
      </c>
      <c r="U65" s="38">
        <f>(C65-'FY2014'!C65)/'FY2014'!C65</f>
        <v>1.4833423634258866E-2</v>
      </c>
      <c r="V65" s="38">
        <f>(D65-'FY2014'!D65)/'FY2014'!D65</f>
        <v>6.7769610771123576E-2</v>
      </c>
    </row>
    <row r="66" spans="1:22" s="5" customFormat="1" ht="12" x14ac:dyDescent="0.2">
      <c r="A66" s="9">
        <v>42125</v>
      </c>
      <c r="B66" s="101">
        <f>9399999.54+408087.62+3015123.99+255571.69+144239.69+111027.48+156969.82</f>
        <v>13491019.829999998</v>
      </c>
      <c r="C66" s="43">
        <f>43741.22+17.74+51154.36+0.24+4765.75+24230.3+281362.98+2046.08+776.96+2162.56+0.5+9442.79+8.95+31544.74+13.8+2397.11+10466.27+32.45+3065.21+20862.86+1759.88+84.59+508.36+1.22+4942.04+17.96+295593.38+9766.37+83783.09</f>
        <v>884549.76</v>
      </c>
      <c r="D66" s="41">
        <f t="shared" si="3"/>
        <v>14375569.589999998</v>
      </c>
      <c r="T66" s="38">
        <f>(B66-'FY2014'!B66)/'FY2014'!B66</f>
        <v>5.0137042332310769E-2</v>
      </c>
      <c r="U66" s="38">
        <f>(C66-'FY2014'!C66)/'FY2014'!C66</f>
        <v>1.7656023289102579E-2</v>
      </c>
      <c r="V66" s="38">
        <f>(D66-'FY2014'!D66)/'FY2014'!D66</f>
        <v>4.8078689899332713E-2</v>
      </c>
    </row>
    <row r="67" spans="1:22" s="5" customFormat="1" ht="12" x14ac:dyDescent="0.2">
      <c r="A67" s="9">
        <v>42156</v>
      </c>
      <c r="B67" s="43">
        <f>9241570.49+404731.72+2895366.62+115736.77+163702.21+151346.41+268217.69</f>
        <v>13240671.910000002</v>
      </c>
      <c r="C67" s="43">
        <f>40212.45+46260.78+4391.75+22234.91+254898.57+1906.29+712.49+1995.66+8995.94+8.35+23528.66+14.4+2161.31+9379.76+40.36+2922.33+19279.11+491.95+1.02+4675.48+260772.05+9044.12+77323.35</f>
        <v>791251.08999999985</v>
      </c>
      <c r="D67" s="41">
        <f t="shared" si="3"/>
        <v>14031923.000000002</v>
      </c>
      <c r="T67" s="38">
        <f>(B67-'FY2014'!B67)/'FY2014'!B67</f>
        <v>6.0733147987045884E-2</v>
      </c>
      <c r="U67" s="38">
        <f>(C67-'FY2014'!C67)/'FY2014'!C67</f>
        <v>8.8594632844443983E-3</v>
      </c>
      <c r="V67" s="38">
        <f>(D67-'FY2014'!D67)/'FY2014'!D67</f>
        <v>5.7666511434109002E-2</v>
      </c>
    </row>
    <row r="68" spans="1:22" s="5" customFormat="1" ht="12" x14ac:dyDescent="0.2">
      <c r="A68" s="9">
        <v>42186</v>
      </c>
      <c r="B68" s="43">
        <f>9538236.47+3029858.56+395385.65+265563.99+149937.37+115401.56+163214.84</f>
        <v>13657598.440000001</v>
      </c>
      <c r="C68" s="43">
        <f>41958.03+16.04+47626.19+0.47+4501.48+23498.43+281621.45+2255.12+902.97+2053.38+0.4+9014.78+141.95+17792.11+18.9+2284.72+9819.87+39.85+3098.9+19979.23+1143.2+518.26+276127.97+9549.97+80164.99</f>
        <v>834128.65999999992</v>
      </c>
      <c r="D68" s="41">
        <f t="shared" si="3"/>
        <v>14491727.100000001</v>
      </c>
      <c r="T68" s="38">
        <f>(B68-'FY2014'!B68)/'FY2014'!B68</f>
        <v>6.3315229180657073E-2</v>
      </c>
      <c r="U68" s="38">
        <f>(C68-'FY2014'!C68)/'FY2014'!C68</f>
        <v>3.0187520538819686E-2</v>
      </c>
      <c r="V68" s="38">
        <f>(D68-'FY2014'!D68)/'FY2014'!D68</f>
        <v>6.1350752211247167E-2</v>
      </c>
    </row>
    <row r="69" spans="1:22" s="5" customFormat="1" ht="12" x14ac:dyDescent="0.2">
      <c r="A69" s="9">
        <v>42217</v>
      </c>
      <c r="B69" s="43">
        <f>9546050.94+413662.51+3183640.98+91431.87+129278.3+117228.82+207622.42</f>
        <v>13688915.84</v>
      </c>
      <c r="C69" s="43">
        <f>41288.06+13.78+47674.59+0.47+4485.3+24288.88+289525.55+2137.51+871.17+2101.33+1.03+9108.83+245.69+10814.66+16.5+2303.1+9642.54+34.62+3050.77+19716.94+987.96+469.64+1.85+11.63+3979.14-4.14+274390.46+9450.78+81322.27</f>
        <v>837930.91000000015</v>
      </c>
      <c r="D69" s="41">
        <f t="shared" si="3"/>
        <v>14526846.75</v>
      </c>
      <c r="T69" s="38">
        <f>(B69-'FY2014'!B69)/'FY2014'!B69</f>
        <v>-4.8811906478892352E-2</v>
      </c>
      <c r="U69" s="38">
        <f>(C69-'FY2014'!C69)/'FY2014'!C69</f>
        <v>3.246071545027663E-2</v>
      </c>
      <c r="V69" s="38">
        <f>(D69-'FY2014'!D69)/'FY2014'!D69</f>
        <v>-4.4473298420508713E-2</v>
      </c>
    </row>
    <row r="70" spans="1:22" s="5" customFormat="1" ht="12" x14ac:dyDescent="0.2">
      <c r="A70" s="9">
        <v>42248</v>
      </c>
      <c r="B70" s="43">
        <f>9071938.94+368994.83+3043248.59+177353.27+100204.95+80317.98+113558.72</f>
        <v>12955617.279999999</v>
      </c>
      <c r="C70" s="43">
        <f>-120.45+40255.49+14.75+47787.1+5.76+5611.1+26548.82+290238.66+2160.74+939.46+2105+1.57+9236.77+246.39+4072.01+15.9+2238.22+9597.02+40.85+3000.22+19461.38+925.85+461.29+8.55+90.53+2553.35-33.75+273486.48+9150.8+79763.4</f>
        <v>829863.26</v>
      </c>
      <c r="D70" s="41">
        <f t="shared" si="3"/>
        <v>13785480.539999999</v>
      </c>
      <c r="T70" s="38">
        <f>(B70-'FY2014'!B70)/'FY2014'!B70</f>
        <v>8.8342368443544761E-2</v>
      </c>
      <c r="U70" s="38">
        <f>(C70-'FY2014'!C70)/'FY2014'!C70</f>
        <v>5.7942839975497859E-2</v>
      </c>
      <c r="V70" s="38">
        <f>(D70-'FY2014'!D70)/'FY2014'!D70</f>
        <v>8.6463033339637577E-2</v>
      </c>
    </row>
    <row r="71" spans="1:22" s="6" customFormat="1" ht="12" x14ac:dyDescent="0.2">
      <c r="A71" s="108" t="s">
        <v>124</v>
      </c>
      <c r="B71" s="42">
        <f>SUM(B59:B70)</f>
        <v>149679739.69</v>
      </c>
      <c r="C71" s="42">
        <f>SUM(C59:C70)</f>
        <v>9903640.9699999988</v>
      </c>
      <c r="D71" s="42">
        <f>SUM(D59:D70)</f>
        <v>159583380.66</v>
      </c>
      <c r="T71" s="39">
        <f>AVERAGE(T59:T70)</f>
        <v>5.6808263059436225E-2</v>
      </c>
      <c r="U71" s="39">
        <f>AVERAGE(U59:U70)</f>
        <v>3.0960718056206579E-2</v>
      </c>
      <c r="V71" s="39">
        <f>AVERAGE(V59:V70)</f>
        <v>5.4997532499261655E-2</v>
      </c>
    </row>
    <row r="72" spans="1:22" s="6" customFormat="1" ht="12" x14ac:dyDescent="0.2">
      <c r="A72" s="80"/>
      <c r="B72" s="76"/>
      <c r="C72" s="76"/>
      <c r="D72" s="76"/>
      <c r="T72" s="51"/>
      <c r="U72" s="51"/>
      <c r="V72" s="51"/>
    </row>
    <row r="73" spans="1:22" s="6" customFormat="1" ht="12" x14ac:dyDescent="0.2">
      <c r="A73" s="17"/>
      <c r="B73" s="17"/>
      <c r="C73" s="17"/>
      <c r="D73" s="17"/>
      <c r="T73" s="18"/>
      <c r="U73" s="18"/>
      <c r="V73" s="18"/>
    </row>
    <row r="74" spans="1:22" s="5" customFormat="1" x14ac:dyDescent="0.2">
      <c r="A74" s="19"/>
      <c r="B74" s="208" t="s">
        <v>20</v>
      </c>
      <c r="C74" s="208"/>
      <c r="D74" s="208"/>
      <c r="E74" s="19"/>
      <c r="T74" s="209" t="s">
        <v>20</v>
      </c>
      <c r="U74" s="209"/>
      <c r="V74" s="209"/>
    </row>
    <row r="75" spans="1:22" s="5" customFormat="1" ht="36" x14ac:dyDescent="0.2">
      <c r="A75" s="150" t="s">
        <v>1</v>
      </c>
      <c r="B75" s="150" t="s">
        <v>2</v>
      </c>
      <c r="C75" s="100" t="s">
        <v>3</v>
      </c>
      <c r="D75" s="154" t="s">
        <v>4</v>
      </c>
      <c r="E75" s="19"/>
      <c r="T75" s="8" t="s">
        <v>9</v>
      </c>
      <c r="U75" s="8" t="s">
        <v>10</v>
      </c>
      <c r="V75" s="54"/>
    </row>
    <row r="76" spans="1:22" s="5" customFormat="1" ht="12" x14ac:dyDescent="0.2">
      <c r="A76" s="9">
        <v>41913</v>
      </c>
      <c r="B76" s="43">
        <f>40191+507365.98+34.09+4024.72+172.22+8.18+836.48+9626.37+42.34+168.8+253.27+145.6+750786.15-55149.48-116927.75-103439.04-91595.5</f>
        <v>946543.42999999993</v>
      </c>
      <c r="C76" s="43">
        <f>970856.18-C59</f>
        <v>101643.51000000013</v>
      </c>
      <c r="D76" s="43">
        <f>B76+C76</f>
        <v>1048186.9400000001</v>
      </c>
      <c r="E76" s="19"/>
      <c r="T76" s="38">
        <f>(B76-'FY2014'!B76)/'FY2014'!B76</f>
        <v>0.1327631027362054</v>
      </c>
      <c r="U76" s="38">
        <f>(C76-'FY2014'!C76)/'FY2014'!C76</f>
        <v>0.21512999792225343</v>
      </c>
      <c r="V76" s="26"/>
    </row>
    <row r="77" spans="1:22" s="5" customFormat="1" ht="12" x14ac:dyDescent="0.2">
      <c r="A77" s="9">
        <v>41944</v>
      </c>
      <c r="B77" s="43">
        <f>35222.7+677687.29-0.23+482283.8+30.26+3166.91+152.56+6.5+786.65+8385.42+38.87+176.28+248.33+108-52487.19-111248.52-103030.69-91252.35</f>
        <v>850274.5900000002</v>
      </c>
      <c r="C77" s="43">
        <f>935855.91-C60</f>
        <v>97297.95000000007</v>
      </c>
      <c r="D77" s="43">
        <f t="shared" ref="D77:D87" si="4">B77+C77</f>
        <v>947572.54000000027</v>
      </c>
      <c r="E77" s="19"/>
      <c r="T77" s="38">
        <f>(B77-'FY2014'!B77)/'FY2014'!B77</f>
        <v>7.7003024198628251E-3</v>
      </c>
      <c r="U77" s="38">
        <f>(C77-'FY2014'!C77)/'FY2014'!C77</f>
        <v>-0.2336245227676205</v>
      </c>
      <c r="V77" s="26"/>
    </row>
    <row r="78" spans="1:22" s="5" customFormat="1" ht="12" x14ac:dyDescent="0.2">
      <c r="A78" s="9">
        <v>41974</v>
      </c>
      <c r="B78" s="43">
        <f>37220.14+550547.56+731853.6+31.79+2446.32+161.73+6.25+774.67+7629.31+34.75+211.93+223.71+82.1-59471-126002.99-121471.57-107521.97</f>
        <v>916756.33000000007</v>
      </c>
      <c r="C78" s="43">
        <f>848284.93-C61-33061.08</f>
        <v>81687.759999999966</v>
      </c>
      <c r="D78" s="43">
        <f t="shared" si="4"/>
        <v>998444.09000000008</v>
      </c>
      <c r="E78" s="19"/>
      <c r="T78" s="38">
        <f>(B78-'FY2014'!B78)/'FY2014'!B78</f>
        <v>0.10679645841583435</v>
      </c>
      <c r="U78" s="38">
        <f>(C78-'FY2014'!C78)/'FY2014'!C78</f>
        <v>-0.13191788179179625</v>
      </c>
      <c r="V78" s="26"/>
    </row>
    <row r="79" spans="1:22" s="5" customFormat="1" ht="12" x14ac:dyDescent="0.2">
      <c r="A79" s="9">
        <v>42005</v>
      </c>
      <c r="B79" s="43">
        <f>37928.64+474919.9+762122.5+7669.97+35.02+93.5+243.33+178.17+128+26.83+2392.37+132.59+6.9+808.12-93792.59-82969.57-48342.73-102475.86</f>
        <v>959105.0900000002</v>
      </c>
      <c r="C79" s="43">
        <f>967634.76-C62-29585.84</f>
        <v>95481.449999999924</v>
      </c>
      <c r="D79" s="43">
        <f t="shared" si="4"/>
        <v>1054586.54</v>
      </c>
      <c r="E79" s="19"/>
      <c r="T79" s="38">
        <f>(B79-'FY2014'!B79)/'FY2014'!B79</f>
        <v>0.12894600789930716</v>
      </c>
      <c r="U79" s="38">
        <f>(C79-'FY2014'!C79)/'FY2014'!C79</f>
        <v>2.9152164023516303E-3</v>
      </c>
      <c r="V79" s="26"/>
    </row>
    <row r="80" spans="1:22" s="5" customFormat="1" ht="12" x14ac:dyDescent="0.2">
      <c r="A80" s="9">
        <v>42036</v>
      </c>
      <c r="B80" s="43">
        <f>39918.52+452646.01+75.5+210.26+243.78+38.31+7892.11+850.2+7.03+127.1+2359.35+25.57+731518.88-44130.97-93473.04-83749.35-74057.58</f>
        <v>940501.68000000017</v>
      </c>
      <c r="C80" s="101">
        <f>894304.41-C63-39071.29</f>
        <v>78345.440000000206</v>
      </c>
      <c r="D80" s="43">
        <f t="shared" si="4"/>
        <v>1018847.1200000003</v>
      </c>
      <c r="E80" s="19"/>
      <c r="T80" s="38">
        <f>(B80-'FY2014'!B80)/'FY2014'!B80</f>
        <v>0.15848238610435611</v>
      </c>
      <c r="U80" s="38">
        <f>(C80-'FY2014'!C80)/'FY2014'!C80</f>
        <v>-0.22372467186215003</v>
      </c>
      <c r="V80" s="26"/>
    </row>
    <row r="81" spans="1:22" s="5" customFormat="1" ht="12" x14ac:dyDescent="0.2">
      <c r="A81" s="9">
        <v>42064</v>
      </c>
      <c r="B81" s="43">
        <f>42309.74+523272.11+820750.29+40.76+2881.89+196.32+10.97+1075.04+9591.31+52.67+292.2+286.34+88.1-53135.06-112513.69-99340.92-87792</f>
        <v>1048066.0700000003</v>
      </c>
      <c r="C81" s="101">
        <f>952522.14-C64-34879.75</f>
        <v>89051.029999999912</v>
      </c>
      <c r="D81" s="43">
        <f t="shared" si="4"/>
        <v>1137117.1000000001</v>
      </c>
      <c r="E81" s="19"/>
      <c r="T81" s="38">
        <f>(B81-'FY2014'!B81)/'FY2014'!B81</f>
        <v>0.15520649331497829</v>
      </c>
      <c r="U81" s="38">
        <f>(C81-'FY2014'!C81)/'FY2014'!C81</f>
        <v>-0.1044560264333759</v>
      </c>
      <c r="V81" s="26"/>
    </row>
    <row r="82" spans="1:22" s="5" customFormat="1" ht="12" x14ac:dyDescent="0.2">
      <c r="A82" s="9">
        <v>42095</v>
      </c>
      <c r="B82" s="43">
        <f>40611.29+678489.04+828923.35+90.9+254.57+281.41+49.25+9323.81+1038+9.33+182.56+2821.1+38.24-86118.31-121723-110040.22-194553.72</f>
        <v>1049677.6000000003</v>
      </c>
      <c r="C82" s="101">
        <f>960708.15-C65-35665.36</f>
        <v>88478.729999999967</v>
      </c>
      <c r="D82" s="43">
        <f t="shared" si="4"/>
        <v>1138156.3300000003</v>
      </c>
      <c r="E82" s="19"/>
      <c r="T82" s="38">
        <f>(B82-'FY2014'!B82)/'FY2014'!B82</f>
        <v>0.12859720888739445</v>
      </c>
      <c r="U82" s="38">
        <f>(C82-'FY2014'!C82)/'FY2014'!C82</f>
        <v>-0.11489530145510328</v>
      </c>
      <c r="V82" s="26"/>
    </row>
    <row r="83" spans="1:22" s="5" customFormat="1" ht="12" x14ac:dyDescent="0.2">
      <c r="A83" s="9">
        <v>42125</v>
      </c>
      <c r="B83" s="43">
        <f>45579.43+841101.22+883006.15+65.7+274.21+241.38+46.01+9583.86+960.27+7.63+153.16+2817.46+32.3-144239.69-255571.69-111027.48-156969.82</f>
        <v>1116060.0999999999</v>
      </c>
      <c r="C83" s="101">
        <f>1014705.94-C66-38296.13</f>
        <v>91860.04999999993</v>
      </c>
      <c r="D83" s="43">
        <f t="shared" si="4"/>
        <v>1207920.1499999999</v>
      </c>
      <c r="E83" s="19"/>
      <c r="T83" s="38">
        <f>(B83-'FY2014'!B83)/'FY2014'!B83</f>
        <v>9.2640027520514159E-2</v>
      </c>
      <c r="U83" s="38">
        <f>(C83-'FY2014'!C83)/'FY2014'!C83</f>
        <v>-0.11428708344710836</v>
      </c>
      <c r="V83" s="26"/>
    </row>
    <row r="84" spans="1:22" s="5" customFormat="1" ht="12" x14ac:dyDescent="0.2">
      <c r="A84" s="9">
        <v>42156</v>
      </c>
      <c r="B84" s="43">
        <f>43965.69+876700.15+884281.14+86.1+230.01+294.83+48.47+8884.3+1104.74+8.08+194.24+3636.06+40.84-115736.77-163702.21-151346.41-268217.69</f>
        <v>1120471.5700000005</v>
      </c>
      <c r="C84" s="101">
        <f>911172.29-C67-34299.82</f>
        <v>85621.380000000179</v>
      </c>
      <c r="D84" s="43">
        <f t="shared" si="4"/>
        <v>1206092.9500000007</v>
      </c>
      <c r="E84" s="19"/>
      <c r="T84" s="38">
        <f>(B84-'FY2014'!B84)/'FY2014'!B84</f>
        <v>0.16155632842103707</v>
      </c>
      <c r="U84" s="38">
        <f>(C84-'FY2014'!C84)/'FY2014'!C84</f>
        <v>-0.10805367051041498</v>
      </c>
      <c r="V84" s="26"/>
    </row>
    <row r="85" spans="1:22" s="5" customFormat="1" ht="12" x14ac:dyDescent="0.2">
      <c r="A85" s="9">
        <v>42186</v>
      </c>
      <c r="B85" s="43">
        <f>46505.99+887082.28+904908.69-107.8-224.38-309.95-48-9266.59-1028.29-9.45-214.22-3715.48-43.85-115401.56-163214.84-149937.37-265563.99</f>
        <v>1129411.1899999997</v>
      </c>
      <c r="C85" s="101">
        <f>963199.34-C68-36896.74</f>
        <v>92173.940000000061</v>
      </c>
      <c r="D85" s="43">
        <f t="shared" si="4"/>
        <v>1221585.1299999999</v>
      </c>
      <c r="E85" s="19"/>
      <c r="T85" s="38">
        <f>(B85-'FY2014'!B85)/'FY2014'!B85</f>
        <v>0.10926749136132295</v>
      </c>
      <c r="U85" s="38">
        <f>(C85-'FY2014'!C85)/'FY2014'!C85</f>
        <v>-6.9479839558002229E-2</v>
      </c>
      <c r="V85" s="26"/>
    </row>
    <row r="86" spans="1:22" s="5" customFormat="1" ht="12" x14ac:dyDescent="0.2">
      <c r="A86" s="9">
        <v>42217</v>
      </c>
      <c r="B86" s="43">
        <f>46585.83+721475.03+908736.91+138.2+316.14+331.7+559.1+11226.35+1288.07+3652.38+52.06-91431.97-129278.3-117228.82-207622.42</f>
        <v>1148800.26</v>
      </c>
      <c r="C86" s="101">
        <f>993915.77-C69-69751.13</f>
        <v>86233.729999999865</v>
      </c>
      <c r="D86" s="43">
        <f t="shared" si="4"/>
        <v>1235033.9899999998</v>
      </c>
      <c r="E86" s="19"/>
      <c r="T86" s="38">
        <f>(B86-'FY2014'!B86)/'FY2014'!B86</f>
        <v>0.12561809897079182</v>
      </c>
      <c r="U86" s="38">
        <f>(C86-'FY2014'!C86)/'FY2014'!C86</f>
        <v>-0.11242321140890742</v>
      </c>
      <c r="V86" s="26"/>
    </row>
    <row r="87" spans="1:22" s="5" customFormat="1" ht="12" x14ac:dyDescent="0.2">
      <c r="A87" s="9">
        <v>42248</v>
      </c>
      <c r="B87" s="43">
        <f>43214.21+636194.33+854452.02+100.9+287.69+272.7+53.55+11024.61+1135.59+10.32+221.14+4035.5+47.33-80317.98-113558.72-100204.95-177353.27</f>
        <v>1079614.9700000002</v>
      </c>
      <c r="C87" s="101">
        <v>90527.200000000026</v>
      </c>
      <c r="D87" s="43">
        <f t="shared" si="4"/>
        <v>1170142.1700000002</v>
      </c>
      <c r="E87" s="19"/>
      <c r="T87" s="38"/>
      <c r="U87" s="38"/>
      <c r="V87" s="26"/>
    </row>
    <row r="88" spans="1:22" s="5" customFormat="1" ht="12" x14ac:dyDescent="0.2">
      <c r="A88" s="108" t="s">
        <v>124</v>
      </c>
      <c r="B88" s="45">
        <f>SUM(B76:B87)</f>
        <v>12305282.880000003</v>
      </c>
      <c r="C88" s="45">
        <f>SUM(C76:C87)</f>
        <v>1078402.1700000002</v>
      </c>
      <c r="D88" s="45">
        <f>SUM(D76:D87)</f>
        <v>13383685.050000001</v>
      </c>
      <c r="E88" s="19"/>
      <c r="T88" s="39">
        <f>AVERAGE(T76:T87)</f>
        <v>0.11887035509560041</v>
      </c>
      <c r="U88" s="39">
        <f>AVERAGE(U76:U87)</f>
        <v>-9.0437908628170346E-2</v>
      </c>
      <c r="V88" s="23"/>
    </row>
    <row r="89" spans="1:22" x14ac:dyDescent="0.2">
      <c r="A89" s="81"/>
      <c r="B89" s="21"/>
      <c r="C89" s="21"/>
      <c r="D89" s="21"/>
      <c r="E89" s="21"/>
    </row>
    <row r="90" spans="1:22" s="5" customFormat="1" ht="12" x14ac:dyDescent="0.2">
      <c r="A90" s="19"/>
      <c r="B90" s="19"/>
      <c r="C90" s="19"/>
      <c r="D90" s="19"/>
      <c r="E90" s="19"/>
    </row>
    <row r="91" spans="1:22" s="5" customFormat="1" x14ac:dyDescent="0.2">
      <c r="A91" s="19"/>
      <c r="B91" s="208" t="s">
        <v>46</v>
      </c>
      <c r="C91" s="208"/>
      <c r="D91" s="210"/>
      <c r="E91" s="19"/>
      <c r="T91" s="209" t="s">
        <v>47</v>
      </c>
      <c r="U91" s="209"/>
      <c r="V91" s="209"/>
    </row>
    <row r="92" spans="1:22" s="5" customFormat="1" ht="36" x14ac:dyDescent="0.2">
      <c r="A92" s="150" t="s">
        <v>1</v>
      </c>
      <c r="B92" s="150" t="s">
        <v>48</v>
      </c>
      <c r="C92" s="150" t="s">
        <v>42</v>
      </c>
      <c r="D92" s="150" t="s">
        <v>7</v>
      </c>
      <c r="E92" s="19"/>
      <c r="T92" s="8" t="s">
        <v>70</v>
      </c>
      <c r="U92" s="8" t="s">
        <v>70</v>
      </c>
      <c r="V92" s="8" t="s">
        <v>71</v>
      </c>
    </row>
    <row r="93" spans="1:22" s="5" customFormat="1" ht="12" x14ac:dyDescent="0.2">
      <c r="A93" s="9">
        <v>41913</v>
      </c>
      <c r="B93" s="73">
        <v>2714220</v>
      </c>
      <c r="C93" s="43">
        <v>166851558</v>
      </c>
      <c r="D93" s="43">
        <v>822656</v>
      </c>
      <c r="E93" s="19"/>
      <c r="T93" s="102">
        <f>(B93-'FY2014'!B93)/'FY2014'!B93</f>
        <v>0.21264190647240949</v>
      </c>
      <c r="U93" s="102">
        <f>(C93-'FY2014'!C93)/'FY2014'!C93</f>
        <v>0.12438914347961705</v>
      </c>
      <c r="V93" s="102">
        <f>(D93-'FY2014'!D93)/'FY2014'!D93</f>
        <v>0.186609220188581</v>
      </c>
    </row>
    <row r="94" spans="1:22" s="5" customFormat="1" ht="12" x14ac:dyDescent="0.2">
      <c r="A94" s="9">
        <v>41944</v>
      </c>
      <c r="B94" s="73">
        <v>2455499</v>
      </c>
      <c r="C94" s="43">
        <v>154185329.76000005</v>
      </c>
      <c r="D94" s="43">
        <v>746599.89999999979</v>
      </c>
      <c r="E94" s="19"/>
      <c r="T94" s="102">
        <f>(B94-'FY2014'!B94)/'FY2014'!B94</f>
        <v>4.1580080382612752E-2</v>
      </c>
      <c r="U94" s="102">
        <f>(C94-'FY2014'!C94)/'FY2014'!C94</f>
        <v>-3.3664668349515821E-2</v>
      </c>
      <c r="V94" s="102">
        <f>(D94-'FY2014'!D94)/'FY2014'!D94</f>
        <v>2.4498076835993549E-2</v>
      </c>
    </row>
    <row r="95" spans="1:22" s="5" customFormat="1" ht="12" x14ac:dyDescent="0.2">
      <c r="A95" s="9">
        <v>41974</v>
      </c>
      <c r="B95" s="73">
        <v>2702857</v>
      </c>
      <c r="C95" s="43">
        <v>173396455.97999999</v>
      </c>
      <c r="D95" s="43">
        <v>818974.81</v>
      </c>
      <c r="E95" s="19"/>
      <c r="T95" s="102">
        <f>(B95-'FY2014'!B95)/'FY2014'!B95</f>
        <v>0.19598035532628805</v>
      </c>
      <c r="U95" s="102">
        <f>(C95-'FY2014'!C95)/'FY2014'!C95</f>
        <v>0.12352056065210615</v>
      </c>
      <c r="V95" s="102">
        <f>(D95-'FY2014'!D95)/'FY2014'!D95</f>
        <v>0.17062290775093417</v>
      </c>
    </row>
    <row r="96" spans="1:22" s="5" customFormat="1" ht="12" x14ac:dyDescent="0.2">
      <c r="A96" s="9">
        <v>42005</v>
      </c>
      <c r="B96" s="73">
        <v>2653191</v>
      </c>
      <c r="C96" s="43">
        <v>167972650.88</v>
      </c>
      <c r="D96" s="43">
        <v>810271.25</v>
      </c>
      <c r="E96" s="19"/>
      <c r="T96" s="102">
        <f>(B96-'FY2014'!B96)/'FY2014'!B96</f>
        <v>0.12871869658328733</v>
      </c>
      <c r="U96" s="102">
        <f>(C96-'FY2014'!C96)/'FY2014'!C96</f>
        <v>7.189059289597706E-2</v>
      </c>
      <c r="V96" s="102">
        <f>(D96-'FY2014'!D96)/'FY2014'!D96</f>
        <v>0.11412101903821668</v>
      </c>
    </row>
    <row r="97" spans="1:22" s="5" customFormat="1" ht="12" x14ac:dyDescent="0.2">
      <c r="A97" s="9">
        <v>42036</v>
      </c>
      <c r="B97" s="73">
        <v>2555977</v>
      </c>
      <c r="C97" s="43">
        <v>164675966.06999999</v>
      </c>
      <c r="D97" s="43">
        <v>796056.15</v>
      </c>
      <c r="E97" s="19"/>
      <c r="T97" s="102">
        <f>(B97-'FY2014'!B97)/'FY2014'!B97</f>
        <v>9.0322236631061661E-2</v>
      </c>
      <c r="U97" s="102">
        <f>(C97-'FY2014'!C97)/'FY2014'!C97</f>
        <v>1.9459584708239431E-2</v>
      </c>
      <c r="V97" s="102">
        <f>(D97-'FY2014'!D97)/'FY2014'!D97</f>
        <v>8.3777113976325493E-2</v>
      </c>
    </row>
    <row r="98" spans="1:22" s="5" customFormat="1" ht="12" x14ac:dyDescent="0.2">
      <c r="A98" s="9">
        <v>42064</v>
      </c>
      <c r="B98" s="73">
        <v>2896287</v>
      </c>
      <c r="C98" s="43">
        <v>180676969.83000001</v>
      </c>
      <c r="D98" s="43">
        <v>896322.14</v>
      </c>
      <c r="E98" s="19"/>
      <c r="T98" s="102">
        <f>(B98-'FY2014'!B98)/'FY2014'!B98</f>
        <v>7.9424905410602958E-2</v>
      </c>
      <c r="U98" s="102">
        <f>(C98-'FY2014'!C98)/'FY2014'!C98</f>
        <v>-1.3344042108482593E-2</v>
      </c>
      <c r="V98" s="102">
        <f>(D98-'FY2014'!D98)/'FY2014'!D98</f>
        <v>6.1302707125341471E-2</v>
      </c>
    </row>
    <row r="99" spans="1:22" s="5" customFormat="1" ht="12" x14ac:dyDescent="0.2">
      <c r="A99" s="9">
        <v>42095</v>
      </c>
      <c r="B99" s="73">
        <v>2849861</v>
      </c>
      <c r="C99" s="43">
        <v>166617657.86000001</v>
      </c>
      <c r="D99" s="43">
        <v>834294.97</v>
      </c>
      <c r="E99" s="19"/>
      <c r="T99" s="102">
        <f>(B99-'FY2014'!B99)/'FY2014'!B99</f>
        <v>8.6567012809152924E-2</v>
      </c>
      <c r="U99" s="102">
        <f>(C99-'FY2014'!C99)/'FY2014'!C99</f>
        <v>-2.3195500032560525E-2</v>
      </c>
      <c r="V99" s="102">
        <f>(D99-'FY2014'!D99)/'FY2014'!D99</f>
        <v>2.3074773323130696E-2</v>
      </c>
    </row>
    <row r="100" spans="1:22" s="5" customFormat="1" ht="12" x14ac:dyDescent="0.2">
      <c r="A100" s="9">
        <v>42125</v>
      </c>
      <c r="B100" s="73">
        <v>2857190</v>
      </c>
      <c r="C100" s="43">
        <v>168286233.36000001</v>
      </c>
      <c r="D100" s="43">
        <v>805122.59</v>
      </c>
      <c r="E100" s="19"/>
      <c r="T100" s="102">
        <f>(B100-'FY2014'!B100)/'FY2014'!B100</f>
        <v>4.6313792699361339E-2</v>
      </c>
      <c r="U100" s="102">
        <f>(C100-'FY2014'!C100)/'FY2014'!C100</f>
        <v>-5.8882737665305336E-2</v>
      </c>
      <c r="V100" s="102">
        <f>(D100-'FY2014'!D100)/'FY2014'!D100</f>
        <v>-5.5195644469687583E-2</v>
      </c>
    </row>
    <row r="101" spans="1:22" s="5" customFormat="1" ht="12" x14ac:dyDescent="0.2">
      <c r="A101" s="9">
        <v>42156</v>
      </c>
      <c r="B101" s="73">
        <v>2832924</v>
      </c>
      <c r="C101" s="43">
        <v>163335573.84999999</v>
      </c>
      <c r="D101" s="43">
        <v>797844.63</v>
      </c>
      <c r="E101" s="19"/>
      <c r="T101" s="102">
        <f>(B101-'FY2014'!B101)/'FY2014'!B101</f>
        <v>8.5453498392083369E-2</v>
      </c>
      <c r="U101" s="102">
        <f>(C101-'FY2014'!C101)/'FY2014'!C101</f>
        <v>-2.5723180651576378E-2</v>
      </c>
      <c r="V101" s="102">
        <f>(D101-'FY2014'!D101)/'FY2014'!D101</f>
        <v>-2.0114133491848655E-2</v>
      </c>
    </row>
    <row r="102" spans="1:22" s="5" customFormat="1" ht="12" x14ac:dyDescent="0.2">
      <c r="A102" s="9">
        <v>42186</v>
      </c>
      <c r="B102" s="73">
        <v>2951886</v>
      </c>
      <c r="C102" s="43">
        <v>168372179</v>
      </c>
      <c r="D102" s="43">
        <v>841715.79</v>
      </c>
      <c r="E102" s="19"/>
      <c r="T102" s="102">
        <f>(B102-'FY2014'!B102)/'FY2014'!B102</f>
        <v>5.7925826213920006E-2</v>
      </c>
      <c r="U102" s="102">
        <f>(C102-'FY2014'!C102)/'FY2014'!C102</f>
        <v>-5.5050050074066513E-2</v>
      </c>
      <c r="V102" s="102">
        <f>(D102-'FY2014'!D102)/'FY2014'!D102</f>
        <v>-2.6785399626769853E-2</v>
      </c>
    </row>
    <row r="103" spans="1:22" s="5" customFormat="1" ht="12" x14ac:dyDescent="0.2">
      <c r="A103" s="9">
        <v>42217</v>
      </c>
      <c r="B103" s="73">
        <v>2846005</v>
      </c>
      <c r="C103" s="43">
        <v>162782791.41999999</v>
      </c>
      <c r="D103" s="43">
        <v>792631.14</v>
      </c>
      <c r="E103" s="19"/>
      <c r="T103" s="102">
        <f>(B103-'FY2014'!B103)/'FY2014'!B103</f>
        <v>1.9346415997191967E-2</v>
      </c>
      <c r="U103" s="102">
        <f>(C103-'FY2014'!C103)/'FY2014'!C103</f>
        <v>-9.9979711353879785E-2</v>
      </c>
      <c r="V103" s="102">
        <f>(D103-'FY2014'!D103)/'FY2014'!D103</f>
        <v>-8.3208735893292723E-2</v>
      </c>
    </row>
    <row r="104" spans="1:22" s="5" customFormat="1" ht="12" x14ac:dyDescent="0.2">
      <c r="A104" s="9">
        <v>42248</v>
      </c>
      <c r="B104" s="73">
        <v>2716603</v>
      </c>
      <c r="C104" s="43">
        <v>152940815.88</v>
      </c>
      <c r="D104" s="43">
        <v>759188.33</v>
      </c>
      <c r="E104" s="19"/>
      <c r="T104" s="102"/>
      <c r="U104" s="102"/>
      <c r="V104" s="102"/>
    </row>
    <row r="105" spans="1:22" s="5" customFormat="1" ht="12" x14ac:dyDescent="0.2">
      <c r="A105" s="108" t="s">
        <v>124</v>
      </c>
      <c r="B105" s="74">
        <f>SUM(B93:B104)</f>
        <v>33032500</v>
      </c>
      <c r="C105" s="45">
        <f>SUM(C93:C104)</f>
        <v>1990094181.8900003</v>
      </c>
      <c r="D105" s="45">
        <f>SUM(D93:D104)</f>
        <v>9721677.6999999993</v>
      </c>
      <c r="E105" s="19"/>
      <c r="T105" s="103">
        <f>AVERAGE(T93:T104)</f>
        <v>9.4934066083451979E-2</v>
      </c>
      <c r="U105" s="103">
        <f>AVERAGE(U93:U104)</f>
        <v>2.6745446818684264E-3</v>
      </c>
      <c r="V105" s="103">
        <f>AVERAGE(V93:V104)</f>
        <v>4.3518354977902213E-2</v>
      </c>
    </row>
    <row r="106" spans="1:22" x14ac:dyDescent="0.2">
      <c r="B106" s="21"/>
      <c r="C106" s="21"/>
      <c r="D106" s="21"/>
      <c r="E106" s="21"/>
    </row>
    <row r="107" spans="1:22" x14ac:dyDescent="0.2">
      <c r="A107" s="59"/>
      <c r="B107" s="21"/>
      <c r="C107" s="21"/>
      <c r="D107" s="21"/>
      <c r="E107" s="21"/>
    </row>
    <row r="108" spans="1:22" x14ac:dyDescent="0.2">
      <c r="A108" s="59"/>
      <c r="B108" s="21"/>
      <c r="C108" s="21"/>
      <c r="D108" s="21"/>
      <c r="E108" s="21"/>
    </row>
    <row r="109" spans="1:22" s="5" customFormat="1" x14ac:dyDescent="0.2">
      <c r="A109" s="19"/>
      <c r="B109" s="208" t="s">
        <v>114</v>
      </c>
      <c r="C109" s="208"/>
      <c r="D109" s="210"/>
      <c r="E109" s="19"/>
      <c r="T109" s="209" t="s">
        <v>57</v>
      </c>
      <c r="U109" s="209"/>
      <c r="V109" s="209"/>
    </row>
    <row r="110" spans="1:22" s="5" customFormat="1" ht="36" x14ac:dyDescent="0.2">
      <c r="A110" s="150" t="s">
        <v>1</v>
      </c>
      <c r="B110" s="150" t="s">
        <v>2</v>
      </c>
      <c r="C110" s="150" t="s">
        <v>3</v>
      </c>
      <c r="D110" s="94"/>
      <c r="E110" s="19"/>
      <c r="T110" s="8" t="s">
        <v>9</v>
      </c>
      <c r="U110" s="8" t="s">
        <v>10</v>
      </c>
      <c r="V110" s="54"/>
    </row>
    <row r="111" spans="1:22" s="5" customFormat="1" ht="12" x14ac:dyDescent="0.2">
      <c r="A111" s="9">
        <v>41913</v>
      </c>
      <c r="B111" s="31">
        <f t="shared" ref="B111:C122" si="5">B59/B25</f>
        <v>1.7425857944483383</v>
      </c>
      <c r="C111" s="31">
        <f t="shared" si="5"/>
        <v>0.26239503219665694</v>
      </c>
      <c r="D111" s="92"/>
      <c r="E111" s="19"/>
      <c r="T111" s="38">
        <f>(B111-'FY2014'!B111)/'FY2013'!B111</f>
        <v>-4.7846623132238711E-2</v>
      </c>
      <c r="U111" s="38">
        <f>(C111-'FY2014'!C111)/'FY2013'!C111</f>
        <v>-2.9124641745038975E-3</v>
      </c>
      <c r="V111" s="26"/>
    </row>
    <row r="112" spans="1:22" s="5" customFormat="1" ht="12" x14ac:dyDescent="0.2">
      <c r="A112" s="9">
        <v>41944</v>
      </c>
      <c r="B112" s="31">
        <f t="shared" si="5"/>
        <v>1.6972236002124377</v>
      </c>
      <c r="C112" s="31">
        <f t="shared" si="5"/>
        <v>0.25548647386311807</v>
      </c>
      <c r="D112" s="92"/>
      <c r="E112" s="19"/>
      <c r="T112" s="38">
        <f>(B112-'FY2014'!B112)/'FY2013'!B112</f>
        <v>-4.4760836701990638E-2</v>
      </c>
      <c r="U112" s="38">
        <f>(C112-'FY2014'!C112)/'FY2013'!C112</f>
        <v>1.7750257907017872E-2</v>
      </c>
      <c r="V112" s="26"/>
    </row>
    <row r="113" spans="1:22" s="5" customFormat="1" ht="12" x14ac:dyDescent="0.2">
      <c r="A113" s="9">
        <v>41974</v>
      </c>
      <c r="B113" s="31">
        <f t="shared" si="5"/>
        <v>1.7380502347681444</v>
      </c>
      <c r="C113" s="31">
        <f t="shared" si="5"/>
        <v>0.26815567325148076</v>
      </c>
      <c r="D113" s="92"/>
      <c r="E113" s="19"/>
      <c r="T113" s="38">
        <f>(B113-'FY2014'!B113)/'FY2013'!B113</f>
        <v>-3.4453352214728034E-2</v>
      </c>
      <c r="U113" s="38">
        <f>(C113-'FY2014'!C113)/'FY2013'!C113</f>
        <v>9.6382817442265418E-3</v>
      </c>
      <c r="V113" s="26"/>
    </row>
    <row r="114" spans="1:22" s="5" customFormat="1" ht="12" x14ac:dyDescent="0.2">
      <c r="A114" s="9">
        <v>42005</v>
      </c>
      <c r="B114" s="31">
        <f t="shared" si="5"/>
        <v>1.6316404017294175</v>
      </c>
      <c r="C114" s="31">
        <f t="shared" si="5"/>
        <v>0.26262222488200093</v>
      </c>
      <c r="D114" s="92"/>
      <c r="E114" s="19"/>
      <c r="T114" s="38">
        <f>(B114-'FY2014'!B114)/'FY2013'!B114</f>
        <v>-1.9053321548800826E-2</v>
      </c>
      <c r="U114" s="38">
        <f>(C114-'FY2014'!C114)/'FY2013'!C114</f>
        <v>1.2807933521532614E-2</v>
      </c>
      <c r="V114" s="26"/>
    </row>
    <row r="115" spans="1:22" s="5" customFormat="1" ht="12" x14ac:dyDescent="0.2">
      <c r="A115" s="9">
        <v>42036</v>
      </c>
      <c r="B115" s="31">
        <f t="shared" si="5"/>
        <v>1.5827885185284665</v>
      </c>
      <c r="C115" s="31">
        <f t="shared" si="5"/>
        <v>0.25605286064261085</v>
      </c>
      <c r="D115" s="92"/>
      <c r="E115" s="19"/>
      <c r="T115" s="38">
        <f>(B115-'FY2014'!B115)/'FY2013'!B115</f>
        <v>-2.7248346814232112E-2</v>
      </c>
      <c r="U115" s="38">
        <f>(C115-'FY2014'!C115)/'FY2013'!C115</f>
        <v>4.1253507806026171E-3</v>
      </c>
      <c r="V115" s="26"/>
    </row>
    <row r="116" spans="1:22" s="5" customFormat="1" ht="12" x14ac:dyDescent="0.2">
      <c r="A116" s="9">
        <v>42064</v>
      </c>
      <c r="B116" s="31">
        <f t="shared" si="5"/>
        <v>1.5746962885200244</v>
      </c>
      <c r="C116" s="31">
        <f t="shared" si="5"/>
        <v>0.26692211050420012</v>
      </c>
      <c r="D116" s="92"/>
      <c r="E116" s="19"/>
      <c r="T116" s="38">
        <f>(B116-'FY2014'!B116)/'FY2013'!B116</f>
        <v>-1.1740152287410016E-2</v>
      </c>
      <c r="U116" s="38">
        <f>(C116-'FY2014'!C116)/'FY2013'!C116</f>
        <v>5.4392696425083376E-2</v>
      </c>
      <c r="V116" s="26"/>
    </row>
    <row r="117" spans="1:22" s="5" customFormat="1" ht="12" x14ac:dyDescent="0.2">
      <c r="A117" s="9">
        <v>42095</v>
      </c>
      <c r="B117" s="31">
        <f t="shared" si="5"/>
        <v>1.6569268908644719</v>
      </c>
      <c r="C117" s="31">
        <f t="shared" si="5"/>
        <v>0.26262432810678216</v>
      </c>
      <c r="D117" s="92"/>
      <c r="E117" s="19"/>
      <c r="T117" s="38">
        <f>(B117-'FY2014'!B117)/'FY2013'!B117</f>
        <v>1.7221336892856787E-3</v>
      </c>
      <c r="U117" s="38">
        <f>(C117-'FY2014'!C117)/'FY2013'!C117</f>
        <v>4.3184755906617795E-3</v>
      </c>
      <c r="V117" s="26"/>
    </row>
    <row r="118" spans="1:22" s="5" customFormat="1" ht="12" x14ac:dyDescent="0.2">
      <c r="A118" s="9">
        <v>42125</v>
      </c>
      <c r="B118" s="31">
        <f t="shared" si="5"/>
        <v>1.6811977086097731</v>
      </c>
      <c r="C118" s="31">
        <f t="shared" si="5"/>
        <v>0.26288354394039226</v>
      </c>
      <c r="D118" s="92"/>
      <c r="E118" s="19"/>
      <c r="T118" s="38">
        <f>(B118-'FY2014'!B118)/'FY2013'!B118</f>
        <v>-1.2271656743971097E-2</v>
      </c>
      <c r="U118" s="38">
        <f>(C118-'FY2014'!C118)/'FY2013'!C118</f>
        <v>4.8068431079009658E-3</v>
      </c>
      <c r="V118" s="26"/>
    </row>
    <row r="119" spans="1:22" s="5" customFormat="1" ht="12" x14ac:dyDescent="0.2">
      <c r="A119" s="9">
        <v>42156</v>
      </c>
      <c r="B119" s="31">
        <f t="shared" si="5"/>
        <v>1.6541467078716525</v>
      </c>
      <c r="C119" s="31">
        <f t="shared" si="5"/>
        <v>0.26044454077724766</v>
      </c>
      <c r="D119" s="92"/>
      <c r="E119" s="19"/>
      <c r="T119" s="38">
        <f>(B119-'FY2014'!B119)/'FY2013'!B119</f>
        <v>-2.3775703452513265E-2</v>
      </c>
      <c r="U119" s="38">
        <f>(C119-'FY2014'!C119)/'FY2013'!C119</f>
        <v>3.7667017278498263E-2</v>
      </c>
      <c r="V119" s="26"/>
    </row>
    <row r="120" spans="1:22" s="5" customFormat="1" ht="12" x14ac:dyDescent="0.2">
      <c r="A120" s="9">
        <v>42186</v>
      </c>
      <c r="B120" s="31">
        <f t="shared" si="5"/>
        <v>1.6343373678807964</v>
      </c>
      <c r="C120" s="31">
        <f t="shared" si="5"/>
        <v>0.26425594911861738</v>
      </c>
      <c r="D120" s="92"/>
      <c r="E120" s="19"/>
      <c r="T120" s="38">
        <f>(B120-'FY2014'!B120)/'FY2013'!B120</f>
        <v>1.6557686168032428E-3</v>
      </c>
      <c r="U120" s="38">
        <f>(C120-'FY2014'!C120)/'FY2013'!C120</f>
        <v>1.5039532846638313E-2</v>
      </c>
      <c r="V120" s="26"/>
    </row>
    <row r="121" spans="1:22" s="5" customFormat="1" ht="12" x14ac:dyDescent="0.2">
      <c r="A121" s="9">
        <v>42217</v>
      </c>
      <c r="B121" s="31">
        <f t="shared" si="5"/>
        <v>1.6988858992968612</v>
      </c>
      <c r="C121" s="31">
        <f t="shared" si="5"/>
        <v>0.2556559106387562</v>
      </c>
      <c r="D121" s="92"/>
      <c r="E121" s="19"/>
      <c r="T121" s="38">
        <f>(B121-'FY2014'!B121)/'FY2013'!B121</f>
        <v>-8.7054598067894867E-2</v>
      </c>
      <c r="U121" s="38">
        <f>(C121-'FY2014'!C121)/'FY2013'!C121</f>
        <v>5.4888717474064895E-2</v>
      </c>
      <c r="V121" s="26"/>
    </row>
    <row r="122" spans="1:22" s="5" customFormat="1" ht="12" x14ac:dyDescent="0.2">
      <c r="A122" s="9">
        <v>42248</v>
      </c>
      <c r="B122" s="31">
        <f t="shared" si="5"/>
        <v>1.7126530249656031</v>
      </c>
      <c r="C122" s="31">
        <f t="shared" si="5"/>
        <v>0.26603126863327159</v>
      </c>
      <c r="D122" s="92"/>
      <c r="E122" s="19"/>
      <c r="T122" s="38"/>
      <c r="U122" s="38"/>
      <c r="V122" s="26"/>
    </row>
    <row r="123" spans="1:22" s="5" customFormat="1" ht="12" x14ac:dyDescent="0.2">
      <c r="A123" s="108" t="s">
        <v>124</v>
      </c>
      <c r="B123" s="32">
        <f>(B88+B71)/B37</f>
        <v>1.8035620679345736</v>
      </c>
      <c r="C123" s="32">
        <f>C71/C37</f>
        <v>0.26187147133975408</v>
      </c>
      <c r="D123" s="93"/>
      <c r="E123" s="19"/>
      <c r="T123" s="39">
        <f>AVERAGE(T111:T122)</f>
        <v>-2.7711517150699149E-2</v>
      </c>
      <c r="U123" s="39">
        <f>AVERAGE(U111:U122)</f>
        <v>1.9320240227429397E-2</v>
      </c>
      <c r="V123" s="23"/>
    </row>
    <row r="124" spans="1:22" s="5" customFormat="1" ht="12" x14ac:dyDescent="0.2">
      <c r="A124" s="59" t="s">
        <v>35</v>
      </c>
      <c r="B124" s="88"/>
      <c r="C124" s="88"/>
      <c r="D124" s="88"/>
      <c r="E124" s="19"/>
      <c r="T124" s="51"/>
      <c r="U124" s="51"/>
      <c r="V124" s="18"/>
    </row>
    <row r="125" spans="1:22" x14ac:dyDescent="0.2">
      <c r="B125" s="21"/>
      <c r="C125" s="21"/>
      <c r="D125" s="21"/>
      <c r="E125" s="21"/>
    </row>
    <row r="126" spans="1:22" s="5" customFormat="1" x14ac:dyDescent="0.2">
      <c r="A126" s="19"/>
      <c r="B126" s="208" t="s">
        <v>53</v>
      </c>
      <c r="C126" s="208"/>
      <c r="D126" s="210"/>
      <c r="E126" s="19"/>
      <c r="T126" s="209" t="s">
        <v>31</v>
      </c>
      <c r="U126" s="209"/>
      <c r="V126" s="209"/>
    </row>
    <row r="127" spans="1:22" s="5" customFormat="1" ht="36" x14ac:dyDescent="0.2">
      <c r="A127" s="150" t="s">
        <v>1</v>
      </c>
      <c r="B127" s="150" t="s">
        <v>56</v>
      </c>
      <c r="C127" s="150" t="s">
        <v>3</v>
      </c>
      <c r="D127" s="94"/>
      <c r="E127" s="19"/>
      <c r="T127" s="8" t="s">
        <v>9</v>
      </c>
      <c r="U127" s="8" t="s">
        <v>10</v>
      </c>
      <c r="V127" s="54"/>
    </row>
    <row r="128" spans="1:22" s="5" customFormat="1" ht="12" x14ac:dyDescent="0.2">
      <c r="A128" s="9">
        <v>41913</v>
      </c>
      <c r="B128" s="90">
        <f t="shared" ref="B128:C133" si="6">B76/B25</f>
        <v>0.13085534270361138</v>
      </c>
      <c r="C128" s="90">
        <f t="shared" si="6"/>
        <v>3.0683805010609494E-2</v>
      </c>
      <c r="D128" s="92"/>
      <c r="E128" s="19"/>
      <c r="T128" s="38">
        <f>(B128-'FY2014'!B128)/'FY2014'!B128</f>
        <v>-3.8073498059462009E-2</v>
      </c>
      <c r="U128" s="38">
        <f>(C128-'FY2014'!C128)/'FY2014'!C128</f>
        <v>7.8143076538465008E-3</v>
      </c>
      <c r="V128" s="26"/>
    </row>
    <row r="129" spans="1:22" s="5" customFormat="1" ht="12" x14ac:dyDescent="0.2">
      <c r="A129" s="9">
        <v>41944</v>
      </c>
      <c r="B129" s="90">
        <f t="shared" si="6"/>
        <v>0.13013736383992461</v>
      </c>
      <c r="C129" s="90">
        <f t="shared" si="6"/>
        <v>2.9644116859387976E-2</v>
      </c>
      <c r="D129" s="92"/>
      <c r="E129" s="19"/>
      <c r="T129" s="38">
        <f>(B129-'FY2014'!B129)/'FY2014'!B129</f>
        <v>-4.0067166102890857E-2</v>
      </c>
      <c r="U129" s="38">
        <f>(C129-'FY2014'!C129)/'FY2014'!C129</f>
        <v>-0.23913148764592188</v>
      </c>
      <c r="V129" s="26"/>
    </row>
    <row r="130" spans="1:22" s="5" customFormat="1" ht="12" x14ac:dyDescent="0.2">
      <c r="A130" s="9">
        <v>41974</v>
      </c>
      <c r="B130" s="90">
        <f t="shared" si="6"/>
        <v>0.13439394430272564</v>
      </c>
      <c r="C130" s="90">
        <f t="shared" si="6"/>
        <v>2.9862247512873384E-2</v>
      </c>
      <c r="D130" s="92"/>
      <c r="E130" s="19"/>
      <c r="T130" s="38">
        <f>(B130-'FY2014'!B130)/'FY2014'!B130</f>
        <v>-2.2997745938196042E-2</v>
      </c>
      <c r="U130" s="38">
        <f>(C130-'FY2014'!C130)/'FY2014'!C130</f>
        <v>-4.803669728001915E-2</v>
      </c>
      <c r="V130" s="26"/>
    </row>
    <row r="131" spans="1:22" s="5" customFormat="1" ht="12" x14ac:dyDescent="0.2">
      <c r="A131" s="9">
        <v>42005</v>
      </c>
      <c r="B131" s="90">
        <f t="shared" si="6"/>
        <v>0.13582039487258429</v>
      </c>
      <c r="C131" s="90">
        <f t="shared" si="6"/>
        <v>2.9760881741564868E-2</v>
      </c>
      <c r="D131" s="92"/>
      <c r="E131" s="19"/>
      <c r="T131" s="38">
        <f>(B131-'FY2014'!B131)/'FY2014'!B131</f>
        <v>4.3496109758808771E-2</v>
      </c>
      <c r="U131" s="38">
        <f>(C131-'FY2014'!C131)/'FY2014'!C131</f>
        <v>-2.9608777822650655E-2</v>
      </c>
      <c r="V131" s="26"/>
    </row>
    <row r="132" spans="1:22" s="5" customFormat="1" ht="12" x14ac:dyDescent="0.2">
      <c r="A132" s="9">
        <v>42036</v>
      </c>
      <c r="B132" s="90">
        <f t="shared" si="6"/>
        <v>0.14034028990178438</v>
      </c>
      <c r="C132" s="90">
        <f t="shared" si="6"/>
        <v>2.5821717278750111E-2</v>
      </c>
      <c r="D132" s="92"/>
      <c r="E132" s="19"/>
      <c r="T132" s="38">
        <f>(B132-'FY2014'!B132)/'FY2014'!B132</f>
        <v>7.8527743810542935E-2</v>
      </c>
      <c r="U132" s="38">
        <f>(C132-'FY2014'!C132)/'FY2014'!C132</f>
        <v>-0.23855993838076966</v>
      </c>
      <c r="V132" s="26"/>
    </row>
    <row r="133" spans="1:22" s="5" customFormat="1" ht="12" x14ac:dyDescent="0.2">
      <c r="A133" s="9">
        <v>42064</v>
      </c>
      <c r="B133" s="90">
        <f t="shared" si="6"/>
        <v>0.1347362594712784</v>
      </c>
      <c r="C133" s="90">
        <f t="shared" si="6"/>
        <v>2.8686865465472403E-2</v>
      </c>
      <c r="D133" s="92"/>
      <c r="E133" s="19"/>
      <c r="T133" s="38">
        <f>(B133-'FY2014'!B133)/'FY2014'!B133</f>
        <v>5.6413094775666812E-2</v>
      </c>
      <c r="U133" s="38">
        <f>(C133-'FY2014'!C133)/'FY2014'!C133</f>
        <v>-4.6865593203518748E-2</v>
      </c>
      <c r="V133" s="26"/>
    </row>
    <row r="134" spans="1:22" s="5" customFormat="1" ht="12" x14ac:dyDescent="0.2">
      <c r="A134" s="9">
        <v>42095</v>
      </c>
      <c r="B134" s="90">
        <f t="shared" ref="B134:C139" si="7">B82/B31</f>
        <v>0.13675718690834354</v>
      </c>
      <c r="C134" s="90">
        <f t="shared" si="7"/>
        <v>2.7776315202916294E-2</v>
      </c>
      <c r="D134" s="92"/>
      <c r="E134" s="19"/>
      <c r="T134" s="38">
        <f>(B134-'FY2014'!B134)/'FY2014'!B134</f>
        <v>5.5364176484020956E-2</v>
      </c>
      <c r="U134" s="38">
        <f>(C134-'FY2014'!C134)/'FY2014'!C134</f>
        <v>-0.12410756451501133</v>
      </c>
      <c r="V134" s="26"/>
    </row>
    <row r="135" spans="1:22" s="5" customFormat="1" ht="12" x14ac:dyDescent="0.2">
      <c r="A135" s="9">
        <v>42125</v>
      </c>
      <c r="B135" s="90">
        <f t="shared" si="7"/>
        <v>0.13907901006997439</v>
      </c>
      <c r="C135" s="90">
        <f t="shared" si="7"/>
        <v>2.7300324506946461E-2</v>
      </c>
      <c r="D135" s="92"/>
      <c r="E135" s="19"/>
      <c r="T135" s="38">
        <f>(B135-'FY2014'!B135)/'FY2014'!B135</f>
        <v>2.6657605754942783E-2</v>
      </c>
      <c r="U135" s="38">
        <f>(C135-'FY2014'!C135)/'FY2014'!C135</f>
        <v>-0.12547669469846967</v>
      </c>
      <c r="V135" s="26"/>
    </row>
    <row r="136" spans="1:22" s="5" customFormat="1" ht="12" x14ac:dyDescent="0.2">
      <c r="A136" s="9">
        <v>42156</v>
      </c>
      <c r="B136" s="90">
        <f t="shared" si="7"/>
        <v>0.13997963029198587</v>
      </c>
      <c r="C136" s="90">
        <f t="shared" si="7"/>
        <v>2.8182736525284621E-2</v>
      </c>
      <c r="D136" s="92"/>
      <c r="E136" s="19"/>
      <c r="T136" s="38">
        <f>(B136-'FY2014'!B136)/'FY2014'!B136</f>
        <v>6.7097932718490752E-2</v>
      </c>
      <c r="U136" s="38">
        <f>(C136-'FY2014'!C136)/'FY2014'!C136</f>
        <v>-8.2206689258247381E-2</v>
      </c>
      <c r="V136" s="26"/>
    </row>
    <row r="137" spans="1:22" s="5" customFormat="1" ht="12" x14ac:dyDescent="0.2">
      <c r="A137" s="9">
        <v>42186</v>
      </c>
      <c r="B137" s="90">
        <f t="shared" si="7"/>
        <v>0.13515106038801633</v>
      </c>
      <c r="C137" s="90">
        <f t="shared" si="7"/>
        <v>2.9201145059207664E-2</v>
      </c>
      <c r="D137" s="92"/>
      <c r="E137" s="19"/>
      <c r="T137" s="38">
        <f>(B137-'FY2014'!B137)/'FY2014'!B137</f>
        <v>4.5186586140940302E-2</v>
      </c>
      <c r="U137" s="38">
        <f>(C137-'FY2014'!C137)/'FY2014'!C137</f>
        <v>-8.3278226625590243E-2</v>
      </c>
      <c r="V137" s="26"/>
    </row>
    <row r="138" spans="1:22" s="5" customFormat="1" ht="12" x14ac:dyDescent="0.2">
      <c r="A138" s="9">
        <v>42217</v>
      </c>
      <c r="B138" s="90">
        <f t="shared" si="7"/>
        <v>0.14257378638559648</v>
      </c>
      <c r="C138" s="90">
        <f t="shared" si="7"/>
        <v>2.6310239314273051E-2</v>
      </c>
      <c r="D138" s="92"/>
      <c r="E138" s="19"/>
      <c r="T138" s="38">
        <f>(B138-'FY2014'!B138)/'FY2014'!B138</f>
        <v>8.2854696195897692E-2</v>
      </c>
      <c r="U138" s="38">
        <f>(C138-'FY2014'!C138)/'FY2014'!C138</f>
        <v>-8.9657069193290986E-2</v>
      </c>
      <c r="V138" s="26"/>
    </row>
    <row r="139" spans="1:22" s="5" customFormat="1" ht="12" x14ac:dyDescent="0.2">
      <c r="A139" s="9">
        <v>42248</v>
      </c>
      <c r="B139" s="90">
        <f t="shared" si="7"/>
        <v>0.14271846753477493</v>
      </c>
      <c r="C139" s="90">
        <f t="shared" si="7"/>
        <v>2.9020523045950857E-2</v>
      </c>
      <c r="D139" s="92"/>
      <c r="E139" s="19"/>
      <c r="T139" s="38"/>
      <c r="U139" s="38"/>
      <c r="V139" s="26"/>
    </row>
    <row r="140" spans="1:22" s="5" customFormat="1" ht="12" x14ac:dyDescent="0.2">
      <c r="A140" s="108" t="s">
        <v>124</v>
      </c>
      <c r="B140" s="91">
        <f>AVERAGE(B128:B139)</f>
        <v>0.1368785613892167</v>
      </c>
      <c r="C140" s="104">
        <f>AVERAGE(C128:C139)</f>
        <v>2.8520909793603107E-2</v>
      </c>
      <c r="D140" s="93"/>
      <c r="E140" s="19"/>
      <c r="T140" s="39">
        <f>AVERAGE(T128:T139)</f>
        <v>3.2223594139887464E-2</v>
      </c>
      <c r="U140" s="39">
        <f>AVERAGE(U128:U139)</f>
        <v>-9.9919493724513017E-2</v>
      </c>
      <c r="V140" s="23"/>
    </row>
    <row r="141" spans="1:22" x14ac:dyDescent="0.2">
      <c r="A141" s="59" t="s">
        <v>115</v>
      </c>
      <c r="B141" s="21"/>
      <c r="C141" s="21"/>
      <c r="D141" s="21"/>
      <c r="E141" s="21"/>
    </row>
    <row r="142" spans="1:22" x14ac:dyDescent="0.2">
      <c r="A142" s="21"/>
      <c r="B142" s="21"/>
      <c r="C142" s="21"/>
      <c r="D142" s="21"/>
      <c r="E142" s="21"/>
    </row>
    <row r="143" spans="1:22" ht="15.75" x14ac:dyDescent="0.25">
      <c r="A143" s="207" t="s">
        <v>14</v>
      </c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5"/>
      <c r="T143" s="205"/>
      <c r="U143" s="205"/>
      <c r="V143" s="205"/>
    </row>
    <row r="145" spans="1:22" x14ac:dyDescent="0.2">
      <c r="A145" s="5"/>
      <c r="B145" s="202" t="s">
        <v>16</v>
      </c>
      <c r="C145" s="202"/>
      <c r="D145" s="202"/>
      <c r="T145" s="203" t="s">
        <v>14</v>
      </c>
      <c r="U145" s="203"/>
      <c r="V145" s="203"/>
    </row>
    <row r="146" spans="1:22" ht="36" x14ac:dyDescent="0.2">
      <c r="A146" s="154" t="s">
        <v>1</v>
      </c>
      <c r="B146" s="37" t="s">
        <v>27</v>
      </c>
      <c r="C146" s="37" t="s">
        <v>26</v>
      </c>
      <c r="D146" s="37" t="s">
        <v>25</v>
      </c>
      <c r="T146" s="8" t="s">
        <v>18</v>
      </c>
      <c r="U146" s="8" t="s">
        <v>19</v>
      </c>
      <c r="V146" s="8" t="s">
        <v>11</v>
      </c>
    </row>
    <row r="147" spans="1:22" x14ac:dyDescent="0.2">
      <c r="A147" s="9">
        <v>41913</v>
      </c>
      <c r="B147" s="10">
        <v>5</v>
      </c>
      <c r="C147" s="10">
        <v>17</v>
      </c>
      <c r="D147" s="10">
        <v>23</v>
      </c>
      <c r="T147" s="38">
        <f>(B147-'FY2014'!B147)/'FY2014'!B147</f>
        <v>1.5</v>
      </c>
      <c r="U147" s="38">
        <f>(C147-'FY2014'!C147)/'FY2014'!C147</f>
        <v>-0.15</v>
      </c>
      <c r="V147" s="38">
        <f>(D147-'FY2014'!D147)/'FY2014'!D147</f>
        <v>4.5454545454545456E-2</v>
      </c>
    </row>
    <row r="148" spans="1:22" x14ac:dyDescent="0.2">
      <c r="A148" s="9">
        <v>41944</v>
      </c>
      <c r="B148" s="10">
        <v>3</v>
      </c>
      <c r="C148" s="10">
        <v>54</v>
      </c>
      <c r="D148" s="10">
        <v>57</v>
      </c>
      <c r="T148" s="38">
        <f>(B148-'FY2014'!B148)/'FY2014'!B148</f>
        <v>0.5</v>
      </c>
      <c r="U148" s="38">
        <f>(C148-'FY2014'!C148)/'FY2014'!C148</f>
        <v>3.9090909090909092</v>
      </c>
      <c r="V148" s="38">
        <f>(D148-'FY2014'!D148)/'FY2014'!D148</f>
        <v>3.3846153846153846</v>
      </c>
    </row>
    <row r="149" spans="1:22" x14ac:dyDescent="0.2">
      <c r="A149" s="9">
        <v>41974</v>
      </c>
      <c r="B149" s="10">
        <v>1</v>
      </c>
      <c r="C149" s="10">
        <v>7</v>
      </c>
      <c r="D149" s="10">
        <v>8</v>
      </c>
      <c r="T149" s="38">
        <f>(B149-'FY2014'!B149)/'FY2014'!B149</f>
        <v>-0.875</v>
      </c>
      <c r="U149" s="38">
        <f>(C149-'FY2014'!C149)/'FY2014'!C149</f>
        <v>-0.65</v>
      </c>
      <c r="V149" s="38">
        <f>(D149-'FY2014'!D149)/'FY2014'!D149</f>
        <v>-0.7142857142857143</v>
      </c>
    </row>
    <row r="150" spans="1:22" x14ac:dyDescent="0.2">
      <c r="A150" s="9">
        <v>42005</v>
      </c>
      <c r="B150" s="10">
        <v>6</v>
      </c>
      <c r="C150" s="10">
        <v>4</v>
      </c>
      <c r="D150" s="10">
        <v>10</v>
      </c>
      <c r="T150" s="38">
        <f>(B150-'FY2014'!B150)/'FY2014'!B150</f>
        <v>0</v>
      </c>
      <c r="U150" s="38">
        <f>(C150-'FY2014'!C150)/'FY2014'!C150</f>
        <v>-0.77777777777777779</v>
      </c>
      <c r="V150" s="38">
        <f>(D150-'FY2014'!D150)/'FY2014'!D150</f>
        <v>-0.58333333333333337</v>
      </c>
    </row>
    <row r="151" spans="1:22" x14ac:dyDescent="0.2">
      <c r="A151" s="9">
        <v>42036</v>
      </c>
      <c r="B151" s="10">
        <v>2</v>
      </c>
      <c r="C151" s="10">
        <v>0</v>
      </c>
      <c r="D151" s="10">
        <v>2</v>
      </c>
      <c r="T151" s="38">
        <f>(B151-'FY2014'!B151)/'FY2014'!B151</f>
        <v>-0.8666666666666667</v>
      </c>
      <c r="U151" s="38">
        <f>(C151-'FY2014'!C151)/'FY2014'!C151</f>
        <v>-1</v>
      </c>
      <c r="V151" s="38">
        <f>(D151-'FY2014'!D151)/'FY2014'!D151</f>
        <v>-0.96078431372549022</v>
      </c>
    </row>
    <row r="152" spans="1:22" x14ac:dyDescent="0.2">
      <c r="A152" s="9">
        <v>42064</v>
      </c>
      <c r="B152" s="10">
        <v>2</v>
      </c>
      <c r="C152" s="10">
        <v>2</v>
      </c>
      <c r="D152" s="10">
        <v>4</v>
      </c>
      <c r="T152" s="38">
        <f>(B152-'FY2014'!B152)/'FY2014'!B152</f>
        <v>-0.7142857142857143</v>
      </c>
      <c r="U152" s="38">
        <f>(C152-'FY2014'!C152)/'FY2014'!C152</f>
        <v>-0.89473684210526316</v>
      </c>
      <c r="V152" s="38">
        <f>(D152-'FY2014'!D152)/'FY2014'!D152</f>
        <v>-0.84615384615384615</v>
      </c>
    </row>
    <row r="153" spans="1:22" x14ac:dyDescent="0.2">
      <c r="A153" s="9">
        <v>42095</v>
      </c>
      <c r="B153" s="10">
        <v>3</v>
      </c>
      <c r="C153" s="10">
        <v>0</v>
      </c>
      <c r="D153" s="10">
        <v>3</v>
      </c>
      <c r="T153" s="38">
        <f>(B153-'FY2014'!B153)/'FY2014'!B153</f>
        <v>-0.5</v>
      </c>
      <c r="U153" s="38">
        <f>(C153-'FY2014'!C153)/'FY2014'!C153</f>
        <v>-1</v>
      </c>
      <c r="V153" s="38">
        <f>(D153-'FY2014'!D153)/'FY2014'!D153</f>
        <v>-0.92500000000000004</v>
      </c>
    </row>
    <row r="154" spans="1:22" x14ac:dyDescent="0.2">
      <c r="A154" s="9">
        <v>42125</v>
      </c>
      <c r="B154" s="10">
        <v>12</v>
      </c>
      <c r="C154" s="10">
        <v>0</v>
      </c>
      <c r="D154" s="10">
        <v>12</v>
      </c>
      <c r="T154" s="38">
        <f>(B154-'FY2014'!B154)/'FY2014'!B154</f>
        <v>0.33333333333333331</v>
      </c>
      <c r="U154" s="38">
        <f>(C154-'FY2014'!C154)/'FY2014'!C154</f>
        <v>-1</v>
      </c>
      <c r="V154" s="38">
        <f>(D154-'FY2014'!D154)/'FY2014'!D154</f>
        <v>-0.55555555555555558</v>
      </c>
    </row>
    <row r="155" spans="1:22" x14ac:dyDescent="0.2">
      <c r="A155" s="9">
        <v>42156</v>
      </c>
      <c r="B155" s="10">
        <v>18</v>
      </c>
      <c r="C155" s="10">
        <v>1</v>
      </c>
      <c r="D155" s="10">
        <v>19</v>
      </c>
      <c r="T155" s="38">
        <f>(B155-'FY2014'!B155)/'FY2014'!B155</f>
        <v>1</v>
      </c>
      <c r="U155" s="38">
        <f>(C155-'FY2014'!C155)/'FY2014'!C155</f>
        <v>-0.99919028340080973</v>
      </c>
      <c r="V155" s="38">
        <f>(D155-'FY2014'!D155)/'FY2014'!D155</f>
        <v>-0.98472668810289388</v>
      </c>
    </row>
    <row r="156" spans="1:22" x14ac:dyDescent="0.2">
      <c r="A156" s="9">
        <v>42186</v>
      </c>
      <c r="B156" s="10">
        <v>2</v>
      </c>
      <c r="C156" s="10">
        <v>0</v>
      </c>
      <c r="D156" s="10">
        <v>2</v>
      </c>
      <c r="T156" s="38">
        <f>(B156-'FY2014'!B156)/'FY2014'!B156</f>
        <v>0</v>
      </c>
      <c r="U156" s="38">
        <f>(C156-'FY2014'!C156)/'FY2014'!C156</f>
        <v>-1</v>
      </c>
      <c r="V156" s="38">
        <f>(D156-'FY2014'!D156)/'FY2014'!D156</f>
        <v>-0.88235294117647056</v>
      </c>
    </row>
    <row r="157" spans="1:22" x14ac:dyDescent="0.2">
      <c r="A157" s="9">
        <v>42217</v>
      </c>
      <c r="B157" s="10">
        <v>5</v>
      </c>
      <c r="C157" s="10">
        <v>0</v>
      </c>
      <c r="D157" s="10">
        <v>5</v>
      </c>
      <c r="T157" s="38">
        <f>(B157-'FY2014'!B157)/'FY2014'!B157</f>
        <v>0.25</v>
      </c>
      <c r="U157" s="38">
        <f>(C157-'FY2014'!C157)/'FY2014'!C157</f>
        <v>-1</v>
      </c>
      <c r="V157" s="38">
        <f>(D157-'FY2014'!D157)/'FY2014'!D157</f>
        <v>-0.83870967741935487</v>
      </c>
    </row>
    <row r="158" spans="1:22" x14ac:dyDescent="0.2">
      <c r="A158" s="9">
        <v>42248</v>
      </c>
      <c r="B158" s="10">
        <v>9</v>
      </c>
      <c r="C158" s="10">
        <v>0</v>
      </c>
      <c r="D158" s="10">
        <v>9</v>
      </c>
      <c r="T158" s="38"/>
      <c r="U158" s="38"/>
      <c r="V158" s="38"/>
    </row>
    <row r="159" spans="1:22" x14ac:dyDescent="0.2">
      <c r="A159" s="108" t="s">
        <v>124</v>
      </c>
      <c r="B159" s="11">
        <f>SUM(B147:B158)</f>
        <v>68</v>
      </c>
      <c r="C159" s="11">
        <f>SUM(C147:C158)</f>
        <v>85</v>
      </c>
      <c r="D159" s="11">
        <f>SUM(D147:D158)</f>
        <v>154</v>
      </c>
      <c r="T159" s="39">
        <f>AVERAGE(T147:T158)</f>
        <v>5.7034632034632035E-2</v>
      </c>
      <c r="U159" s="39">
        <f>AVERAGE(U147:U158)</f>
        <v>-0.41478309038117644</v>
      </c>
      <c r="V159" s="39">
        <f>AVERAGE(V147:V158)</f>
        <v>-0.35098473997115726</v>
      </c>
    </row>
    <row r="162" spans="1:22" x14ac:dyDescent="0.2">
      <c r="A162" s="5"/>
      <c r="B162" s="212" t="s">
        <v>39</v>
      </c>
      <c r="C162" s="213"/>
      <c r="D162" s="214"/>
      <c r="T162" s="215" t="s">
        <v>33</v>
      </c>
      <c r="U162" s="216"/>
      <c r="V162" s="217"/>
    </row>
    <row r="163" spans="1:22" ht="36" x14ac:dyDescent="0.2">
      <c r="A163" s="154" t="s">
        <v>1</v>
      </c>
      <c r="B163" s="37" t="s">
        <v>32</v>
      </c>
      <c r="C163" s="52"/>
      <c r="D163" s="52"/>
      <c r="T163" s="8" t="s">
        <v>18</v>
      </c>
      <c r="U163" s="54"/>
      <c r="V163" s="54"/>
    </row>
    <row r="164" spans="1:22" x14ac:dyDescent="0.2">
      <c r="A164" s="9">
        <v>41913</v>
      </c>
      <c r="B164" s="58">
        <f>9928+6</f>
        <v>9934</v>
      </c>
      <c r="C164" s="53"/>
      <c r="D164" s="53"/>
      <c r="T164" s="38">
        <f>(B164-'FY2014'!B164)/'FY2014'!B164</f>
        <v>0.23726491468426952</v>
      </c>
      <c r="U164" s="55"/>
      <c r="V164" s="55"/>
    </row>
    <row r="165" spans="1:22" x14ac:dyDescent="0.2">
      <c r="A165" s="9">
        <v>41944</v>
      </c>
      <c r="B165" s="58">
        <v>9572</v>
      </c>
      <c r="C165" s="53"/>
      <c r="D165" s="53"/>
      <c r="T165" s="38">
        <f>(B165-'FY2014'!B165)/'FY2014'!B165</f>
        <v>0.1911398705823793</v>
      </c>
      <c r="U165" s="55"/>
      <c r="V165" s="55"/>
    </row>
    <row r="166" spans="1:22" x14ac:dyDescent="0.2">
      <c r="A166" s="9">
        <v>41974</v>
      </c>
      <c r="B166" s="58">
        <v>9586</v>
      </c>
      <c r="C166" s="53"/>
      <c r="D166" s="53"/>
      <c r="T166" s="38">
        <f>(B166-'FY2014'!B166)/'FY2014'!B166</f>
        <v>0.1817061143984221</v>
      </c>
      <c r="U166" s="55"/>
      <c r="V166" s="55"/>
    </row>
    <row r="167" spans="1:22" x14ac:dyDescent="0.2">
      <c r="A167" s="9">
        <v>42005</v>
      </c>
      <c r="B167" s="58">
        <f>8295+1230</f>
        <v>9525</v>
      </c>
      <c r="C167" s="53"/>
      <c r="D167" s="53"/>
      <c r="T167" s="38">
        <f>(B167-'FY2014'!B167)/'FY2014'!B167</f>
        <v>0.17014742014742015</v>
      </c>
      <c r="U167" s="55"/>
      <c r="V167" s="55"/>
    </row>
    <row r="168" spans="1:22" x14ac:dyDescent="0.2">
      <c r="A168" s="9">
        <v>42036</v>
      </c>
      <c r="B168" s="58">
        <v>9462</v>
      </c>
      <c r="C168" s="53"/>
      <c r="D168" s="53"/>
      <c r="T168" s="38">
        <f>(B168-'FY2014'!B168)/'FY2014'!B168</f>
        <v>0.19153758972421608</v>
      </c>
      <c r="U168" s="55"/>
      <c r="V168" s="55"/>
    </row>
    <row r="169" spans="1:22" x14ac:dyDescent="0.2">
      <c r="A169" s="9">
        <v>42064</v>
      </c>
      <c r="B169" s="58">
        <v>9489</v>
      </c>
      <c r="C169" s="53"/>
      <c r="D169" s="53"/>
      <c r="T169" s="38">
        <f>(B169-'FY2014'!B169)/'FY2014'!B169</f>
        <v>0.18850200400801603</v>
      </c>
      <c r="U169" s="55"/>
      <c r="V169" s="55"/>
    </row>
    <row r="170" spans="1:22" x14ac:dyDescent="0.2">
      <c r="A170" s="9">
        <v>42095</v>
      </c>
      <c r="B170" s="58">
        <v>9598</v>
      </c>
      <c r="C170" s="53"/>
      <c r="D170" s="53"/>
      <c r="T170" s="38">
        <f>(B170-'FY2014'!B170)/'FY2014'!B170</f>
        <v>0.19022817460317459</v>
      </c>
      <c r="U170" s="55"/>
      <c r="V170" s="55"/>
    </row>
    <row r="171" spans="1:22" x14ac:dyDescent="0.2">
      <c r="A171" s="9">
        <v>42125</v>
      </c>
      <c r="B171" s="58">
        <v>9546</v>
      </c>
      <c r="C171" s="53"/>
      <c r="D171" s="53"/>
      <c r="T171" s="38">
        <f>(B171-'FY2014'!B171)/'FY2014'!B171</f>
        <v>0.17982944011865035</v>
      </c>
      <c r="U171" s="55"/>
      <c r="V171" s="55"/>
    </row>
    <row r="172" spans="1:22" x14ac:dyDescent="0.2">
      <c r="A172" s="9">
        <v>42156</v>
      </c>
      <c r="B172" s="58">
        <v>9685</v>
      </c>
      <c r="C172" s="53"/>
      <c r="D172" s="53"/>
      <c r="T172" s="38">
        <f>(B172-'FY2014'!B172)/'FY2014'!B172</f>
        <v>3.6383092562867841E-2</v>
      </c>
      <c r="U172" s="55"/>
      <c r="V172" s="55"/>
    </row>
    <row r="173" spans="1:22" x14ac:dyDescent="0.2">
      <c r="A173" s="9">
        <v>42186</v>
      </c>
      <c r="B173" s="58">
        <v>10029</v>
      </c>
      <c r="C173" s="53"/>
      <c r="D173" s="53"/>
      <c r="T173" s="38">
        <f>(B173-'FY2014'!B173)/'FY2014'!B173</f>
        <v>6.8506285957809498E-2</v>
      </c>
      <c r="U173" s="55"/>
      <c r="V173" s="55"/>
    </row>
    <row r="174" spans="1:22" x14ac:dyDescent="0.2">
      <c r="A174" s="9">
        <v>42217</v>
      </c>
      <c r="B174" s="58">
        <v>10544</v>
      </c>
      <c r="C174" s="53"/>
      <c r="D174" s="53"/>
      <c r="T174" s="38">
        <f>(B174-'FY2014'!B174)/'FY2014'!B174</f>
        <v>0.11943943093746683</v>
      </c>
      <c r="U174" s="55"/>
      <c r="V174" s="55"/>
    </row>
    <row r="175" spans="1:22" x14ac:dyDescent="0.2">
      <c r="A175" s="9">
        <v>42248</v>
      </c>
      <c r="B175" s="58">
        <v>11069</v>
      </c>
      <c r="C175" s="53"/>
      <c r="D175" s="53"/>
      <c r="T175" s="38"/>
      <c r="U175" s="55"/>
      <c r="V175" s="55"/>
    </row>
    <row r="176" spans="1:22" x14ac:dyDescent="0.2">
      <c r="A176" s="63" t="s">
        <v>125</v>
      </c>
      <c r="B176" s="63">
        <f>AVERAGE(B164:B175)</f>
        <v>9836.5833333333339</v>
      </c>
      <c r="C176" s="53"/>
      <c r="D176" s="53"/>
      <c r="T176" s="39">
        <f>AVERAGE(T164:T175)</f>
        <v>0.15951675797497203</v>
      </c>
      <c r="U176" s="55"/>
      <c r="V176" s="55"/>
    </row>
    <row r="177" spans="1:22" x14ac:dyDescent="0.2">
      <c r="A177" s="77"/>
      <c r="B177" s="77"/>
      <c r="C177" s="83"/>
      <c r="D177" s="83"/>
      <c r="T177" s="51"/>
      <c r="U177" s="50"/>
      <c r="V177" s="50"/>
    </row>
    <row r="179" spans="1:22" ht="15.75" x14ac:dyDescent="0.25">
      <c r="A179" s="207" t="s">
        <v>49</v>
      </c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5"/>
      <c r="T179" s="205"/>
      <c r="U179" s="205"/>
      <c r="V179" s="205"/>
    </row>
    <row r="180" spans="1:22" ht="15.75" x14ac:dyDescent="0.25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3"/>
      <c r="T180" s="153"/>
      <c r="U180" s="153"/>
      <c r="V180" s="153"/>
    </row>
    <row r="181" spans="1:22" x14ac:dyDescent="0.2">
      <c r="A181" s="5"/>
      <c r="B181" s="212" t="s">
        <v>40</v>
      </c>
      <c r="C181" s="213"/>
      <c r="D181" s="214"/>
      <c r="T181" s="212" t="s">
        <v>40</v>
      </c>
      <c r="U181" s="213"/>
      <c r="V181" s="214"/>
    </row>
    <row r="182" spans="1:22" ht="48.75" customHeight="1" x14ac:dyDescent="0.2">
      <c r="A182" s="154" t="s">
        <v>1</v>
      </c>
      <c r="B182" s="37" t="s">
        <v>41</v>
      </c>
      <c r="C182" s="64" t="s">
        <v>42</v>
      </c>
      <c r="D182" s="64" t="s">
        <v>43</v>
      </c>
      <c r="T182" s="8" t="s">
        <v>72</v>
      </c>
      <c r="U182" s="8" t="s">
        <v>73</v>
      </c>
      <c r="V182" s="54"/>
    </row>
    <row r="183" spans="1:22" x14ac:dyDescent="0.2">
      <c r="A183" s="9">
        <v>41913</v>
      </c>
      <c r="B183" s="58">
        <f>573+264+67</f>
        <v>904</v>
      </c>
      <c r="C183" s="43">
        <f>187620+130711+26630</f>
        <v>344961</v>
      </c>
      <c r="D183" s="66">
        <f t="shared" ref="D183:D194" si="8">B183/B25</f>
        <v>1.2497390616726873E-4</v>
      </c>
      <c r="E183" s="68"/>
      <c r="T183" s="102">
        <f>(B183-'FY2014'!B183)/'FY2014'!B183</f>
        <v>-0.13822688274547187</v>
      </c>
      <c r="U183" s="102">
        <f>(C183-'FY2014'!C183)/'FY2014'!C183</f>
        <v>7.2996923727732796E-2</v>
      </c>
      <c r="V183" s="55"/>
    </row>
    <row r="184" spans="1:22" x14ac:dyDescent="0.2">
      <c r="A184" s="9">
        <v>41944</v>
      </c>
      <c r="B184" s="58">
        <f>472+194+37</f>
        <v>703</v>
      </c>
      <c r="C184" s="43">
        <f>170352.62+60149.62+33744.42</f>
        <v>264246.65999999997</v>
      </c>
      <c r="D184" s="66">
        <f t="shared" si="8"/>
        <v>1.0759649630299663E-4</v>
      </c>
      <c r="E184" s="68"/>
      <c r="T184" s="102">
        <f>(B184-'FY2014'!B184)/'FY2014'!B184</f>
        <v>-0.16508313539192399</v>
      </c>
      <c r="U184" s="102">
        <f>(C184-'FY2014'!C184)/'FY2014'!C184</f>
        <v>9.6882448413703109E-2</v>
      </c>
      <c r="V184" s="55"/>
    </row>
    <row r="185" spans="1:22" x14ac:dyDescent="0.2">
      <c r="A185" s="9">
        <v>41974</v>
      </c>
      <c r="B185" s="58">
        <v>752</v>
      </c>
      <c r="C185" s="43">
        <v>276366.16000000009</v>
      </c>
      <c r="D185" s="66">
        <f t="shared" si="8"/>
        <v>1.1024112166822964E-4</v>
      </c>
      <c r="E185" s="68"/>
      <c r="T185" s="102">
        <f>(B185-'FY2014'!B185)/'FY2014'!B185</f>
        <v>4.8814504881450491E-2</v>
      </c>
      <c r="U185" s="102">
        <f>(C185-'FY2014'!C185)/'FY2014'!C185</f>
        <v>0.32691502829330249</v>
      </c>
      <c r="V185" s="55"/>
    </row>
    <row r="186" spans="1:22" x14ac:dyDescent="0.2">
      <c r="A186" s="9">
        <v>42005</v>
      </c>
      <c r="B186" s="58">
        <v>1030</v>
      </c>
      <c r="C186" s="43">
        <v>334155.99</v>
      </c>
      <c r="D186" s="66">
        <f t="shared" si="8"/>
        <v>1.4585993566019109E-4</v>
      </c>
      <c r="E186" s="68"/>
      <c r="T186" s="102">
        <f>(B186-'FY2014'!B186)/'FY2014'!B186</f>
        <v>0.44460028050490885</v>
      </c>
      <c r="U186" s="102">
        <f>(C186-'FY2014'!C186)/'FY2014'!C186</f>
        <v>0.23287960684334608</v>
      </c>
      <c r="V186" s="55"/>
    </row>
    <row r="187" spans="1:22" x14ac:dyDescent="0.2">
      <c r="A187" s="9">
        <v>42036</v>
      </c>
      <c r="B187" s="58">
        <v>705</v>
      </c>
      <c r="C187" s="43">
        <v>270145.15000000002</v>
      </c>
      <c r="D187" s="66">
        <f t="shared" si="8"/>
        <v>1.0519907245753987E-4</v>
      </c>
      <c r="E187" s="68"/>
      <c r="T187" s="102">
        <f>(B187-'FY2014'!B187)/'FY2014'!B187</f>
        <v>3.2210834553440704E-2</v>
      </c>
      <c r="U187" s="102">
        <f>(C187-'FY2014'!C187)/'FY2014'!C187</f>
        <v>0.34976579656548279</v>
      </c>
      <c r="V187" s="55"/>
    </row>
    <row r="188" spans="1:22" x14ac:dyDescent="0.2">
      <c r="A188" s="9">
        <v>42064</v>
      </c>
      <c r="B188" s="58">
        <f>511+224+38</f>
        <v>773</v>
      </c>
      <c r="C188" s="43">
        <f>196417.2+71703.96+12091.72</f>
        <v>280212.88</v>
      </c>
      <c r="D188" s="66">
        <f t="shared" si="8"/>
        <v>9.9374582912791157E-5</v>
      </c>
      <c r="E188" s="68"/>
      <c r="T188" s="102">
        <f>(B188-'FY2014'!B188)/'FY2014'!B188</f>
        <v>0.12846715328467154</v>
      </c>
      <c r="U188" s="102">
        <f>(C188-'FY2014'!C188)/'FY2014'!C188</f>
        <v>0.12100334869354701</v>
      </c>
      <c r="V188" s="55"/>
    </row>
    <row r="189" spans="1:22" x14ac:dyDescent="0.2">
      <c r="A189" s="9">
        <v>42095</v>
      </c>
      <c r="B189" s="58">
        <f>542+255+59</f>
        <v>856</v>
      </c>
      <c r="C189" s="43">
        <f>177847.18+75721.55+21839.87</f>
        <v>275408.59999999998</v>
      </c>
      <c r="D189" s="66">
        <f t="shared" si="8"/>
        <v>1.1152391171683766E-4</v>
      </c>
      <c r="E189" s="68"/>
      <c r="T189" s="102">
        <f>(B189-'FY2014'!B189)/'FY2014'!B189</f>
        <v>0.28915662650602408</v>
      </c>
      <c r="U189" s="102">
        <f>(C189-'FY2014'!C189)/'FY2014'!C189</f>
        <v>0.16074413429482981</v>
      </c>
      <c r="V189" s="55"/>
    </row>
    <row r="190" spans="1:22" x14ac:dyDescent="0.2">
      <c r="A190" s="9">
        <v>42125</v>
      </c>
      <c r="B190" s="58">
        <v>819</v>
      </c>
      <c r="C190" s="43">
        <v>278507.3</v>
      </c>
      <c r="D190" s="66">
        <f t="shared" si="8"/>
        <v>1.0206055144101024E-4</v>
      </c>
      <c r="T190" s="102">
        <f>(B190-'FY2014'!B190)/'FY2014'!B190</f>
        <v>0.23157894736842105</v>
      </c>
      <c r="U190" s="102">
        <f>(C190-'FY2014'!C190)/'FY2014'!C190</f>
        <v>0.15476467880969061</v>
      </c>
      <c r="V190" s="55"/>
    </row>
    <row r="191" spans="1:22" x14ac:dyDescent="0.2">
      <c r="A191" s="9">
        <v>42156</v>
      </c>
      <c r="B191" s="58">
        <v>878</v>
      </c>
      <c r="C191" s="43">
        <v>291862.48</v>
      </c>
      <c r="D191" s="66">
        <f t="shared" si="8"/>
        <v>1.0968784812305727E-4</v>
      </c>
      <c r="T191" s="102">
        <f>(B191-'FY2014'!B191)/'FY2014'!B191</f>
        <v>0.28175182481751826</v>
      </c>
      <c r="U191" s="102">
        <f>(C191-'FY2014'!C191)/'FY2014'!C191</f>
        <v>0.45797106661871068</v>
      </c>
      <c r="V191" s="55"/>
    </row>
    <row r="192" spans="1:22" x14ac:dyDescent="0.2">
      <c r="A192" s="9">
        <v>42186</v>
      </c>
      <c r="B192" s="58">
        <v>930</v>
      </c>
      <c r="C192" s="43">
        <v>343429.59</v>
      </c>
      <c r="D192" s="66">
        <f t="shared" si="8"/>
        <v>1.1128850791787818E-4</v>
      </c>
      <c r="T192" s="102">
        <f>(B192-'FY2014'!B192)/'FY2014'!B192</f>
        <v>0.18925831202046037</v>
      </c>
      <c r="U192" s="102">
        <f>(C192-'FY2014'!C192)/'FY2014'!C192</f>
        <v>0.55927544343239521</v>
      </c>
      <c r="V192" s="55"/>
    </row>
    <row r="193" spans="1:22" x14ac:dyDescent="0.2">
      <c r="A193" s="9">
        <v>42217</v>
      </c>
      <c r="B193" s="58">
        <v>849</v>
      </c>
      <c r="C193" s="43">
        <v>330815.15999999997</v>
      </c>
      <c r="D193" s="66">
        <f t="shared" si="8"/>
        <v>1.0536657141892656E-4</v>
      </c>
      <c r="T193" s="102">
        <f>(B193-'FY2014'!B193)/'FY2014'!B193</f>
        <v>-5.5617352614015569E-2</v>
      </c>
      <c r="U193" s="102">
        <f>(C193-'FY2014'!C193)/'FY2014'!C193</f>
        <v>0.41470157386890533</v>
      </c>
      <c r="V193" s="55"/>
    </row>
    <row r="194" spans="1:22" x14ac:dyDescent="0.2">
      <c r="A194" s="9">
        <v>42248</v>
      </c>
      <c r="B194" s="58">
        <v>796</v>
      </c>
      <c r="C194" s="43">
        <v>291181.84999999998</v>
      </c>
      <c r="D194" s="66">
        <f t="shared" si="8"/>
        <v>1.0522631059634236E-4</v>
      </c>
      <c r="T194" s="102"/>
      <c r="U194" s="102"/>
      <c r="V194" s="55"/>
    </row>
    <row r="195" spans="1:22" x14ac:dyDescent="0.2">
      <c r="A195" s="108" t="s">
        <v>124</v>
      </c>
      <c r="B195" s="63">
        <f>SUM(B183:B194)</f>
        <v>9995</v>
      </c>
      <c r="C195" s="65">
        <f>SUM(C183:C194)</f>
        <v>3581292.82</v>
      </c>
      <c r="D195" s="67">
        <f>B195/B37</f>
        <v>1.1128561507108517E-4</v>
      </c>
      <c r="T195" s="103">
        <f>AVERAGE(T183:T194)</f>
        <v>0.11699191938049855</v>
      </c>
      <c r="U195" s="103">
        <f>AVERAGE(U183:U194)</f>
        <v>0.26799091359651328</v>
      </c>
      <c r="V195" s="55"/>
    </row>
    <row r="196" spans="1:22" x14ac:dyDescent="0.2">
      <c r="D196" s="68"/>
      <c r="T196" s="57"/>
      <c r="U196" s="57"/>
      <c r="V196" s="57"/>
    </row>
    <row r="197" spans="1:22" x14ac:dyDescent="0.2">
      <c r="B197" s="218" t="s">
        <v>122</v>
      </c>
      <c r="C197" s="218"/>
      <c r="D197" s="69">
        <v>1.3999999999999999E-4</v>
      </c>
      <c r="T197" s="57"/>
      <c r="U197" s="57"/>
      <c r="V197" s="57"/>
    </row>
    <row r="199" spans="1:22" ht="15.75" x14ac:dyDescent="0.25">
      <c r="A199" s="207" t="s">
        <v>96</v>
      </c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5"/>
      <c r="T199" s="205"/>
      <c r="U199" s="205"/>
      <c r="V199" s="205"/>
    </row>
    <row r="201" spans="1:22" x14ac:dyDescent="0.2">
      <c r="A201" s="5"/>
      <c r="B201" s="211" t="s">
        <v>96</v>
      </c>
      <c r="C201" s="211"/>
      <c r="D201" s="211"/>
      <c r="E201" s="134"/>
      <c r="F201" s="134"/>
      <c r="T201" s="212" t="s">
        <v>96</v>
      </c>
      <c r="U201" s="213"/>
      <c r="V201" s="214"/>
    </row>
    <row r="202" spans="1:22" ht="48.75" customHeight="1" x14ac:dyDescent="0.2">
      <c r="A202" s="154" t="s">
        <v>1</v>
      </c>
      <c r="B202" s="115" t="s">
        <v>97</v>
      </c>
      <c r="C202" s="116" t="s">
        <v>98</v>
      </c>
      <c r="D202" s="64" t="s">
        <v>99</v>
      </c>
      <c r="E202" s="220"/>
      <c r="F202" s="221"/>
      <c r="T202" s="113"/>
      <c r="U202" s="113"/>
      <c r="V202" s="113"/>
    </row>
    <row r="203" spans="1:22" x14ac:dyDescent="0.2">
      <c r="A203" s="9">
        <v>41913</v>
      </c>
      <c r="B203" s="149">
        <v>3</v>
      </c>
      <c r="C203" s="73">
        <v>1</v>
      </c>
      <c r="D203" s="43">
        <v>50</v>
      </c>
      <c r="E203" s="219"/>
      <c r="F203" s="219"/>
      <c r="T203" s="114"/>
      <c r="U203" s="114"/>
      <c r="V203" s="114"/>
    </row>
    <row r="204" spans="1:22" x14ac:dyDescent="0.2">
      <c r="A204" s="9">
        <v>41944</v>
      </c>
      <c r="B204" s="149">
        <f>3</f>
        <v>3</v>
      </c>
      <c r="C204" s="73">
        <v>6</v>
      </c>
      <c r="D204" s="43">
        <v>405.02</v>
      </c>
      <c r="E204" s="219"/>
      <c r="F204" s="219"/>
      <c r="T204" s="114"/>
      <c r="U204" s="114"/>
      <c r="V204" s="114"/>
    </row>
    <row r="205" spans="1:22" x14ac:dyDescent="0.2">
      <c r="A205" s="9">
        <v>41974</v>
      </c>
      <c r="B205" s="149">
        <v>4</v>
      </c>
      <c r="C205" s="73">
        <v>0</v>
      </c>
      <c r="D205" s="43">
        <v>0</v>
      </c>
      <c r="E205" s="219"/>
      <c r="F205" s="219"/>
      <c r="T205" s="114"/>
      <c r="U205" s="114"/>
      <c r="V205" s="114"/>
    </row>
    <row r="206" spans="1:22" x14ac:dyDescent="0.2">
      <c r="A206" s="9">
        <v>42005</v>
      </c>
      <c r="B206" s="149">
        <v>4</v>
      </c>
      <c r="C206" s="73">
        <f>1</f>
        <v>1</v>
      </c>
      <c r="D206" s="43">
        <f>50</f>
        <v>50</v>
      </c>
      <c r="E206" s="219"/>
      <c r="F206" s="219"/>
      <c r="T206" s="114"/>
      <c r="U206" s="114"/>
      <c r="V206" s="114"/>
    </row>
    <row r="207" spans="1:22" x14ac:dyDescent="0.2">
      <c r="A207" s="9">
        <v>42036</v>
      </c>
      <c r="B207" s="58">
        <v>4</v>
      </c>
      <c r="C207" s="73">
        <v>2</v>
      </c>
      <c r="D207" s="43">
        <v>18.75</v>
      </c>
      <c r="E207" s="219"/>
      <c r="F207" s="219"/>
      <c r="T207" s="114"/>
      <c r="U207" s="114"/>
      <c r="V207" s="114"/>
    </row>
    <row r="208" spans="1:22" x14ac:dyDescent="0.2">
      <c r="A208" s="9">
        <v>42064</v>
      </c>
      <c r="B208" s="58">
        <v>4</v>
      </c>
      <c r="C208" s="73">
        <v>5</v>
      </c>
      <c r="D208" s="43">
        <v>1176.94</v>
      </c>
      <c r="E208" s="219"/>
      <c r="F208" s="219"/>
      <c r="T208" s="114"/>
      <c r="U208" s="114"/>
      <c r="V208" s="114"/>
    </row>
    <row r="209" spans="1:22" ht="13.5" customHeight="1" x14ac:dyDescent="0.2">
      <c r="A209" s="9">
        <v>42095</v>
      </c>
      <c r="B209" s="58">
        <v>4</v>
      </c>
      <c r="C209" s="73">
        <f>2+232</f>
        <v>234</v>
      </c>
      <c r="D209" s="158">
        <f>3624+2230.5</f>
        <v>5854.5</v>
      </c>
      <c r="E209" s="219"/>
      <c r="F209" s="219"/>
      <c r="T209" s="114"/>
      <c r="U209" s="114"/>
      <c r="V209" s="114"/>
    </row>
    <row r="210" spans="1:22" x14ac:dyDescent="0.2">
      <c r="A210" s="9">
        <v>42125</v>
      </c>
      <c r="B210" s="58">
        <v>4</v>
      </c>
      <c r="C210" s="73">
        <v>24</v>
      </c>
      <c r="D210" s="43">
        <v>147.44999999999999</v>
      </c>
      <c r="E210" s="219"/>
      <c r="F210" s="219"/>
      <c r="T210" s="114"/>
      <c r="U210" s="114"/>
      <c r="V210" s="114"/>
    </row>
    <row r="211" spans="1:22" x14ac:dyDescent="0.2">
      <c r="A211" s="9">
        <v>42156</v>
      </c>
      <c r="B211" s="58">
        <v>4</v>
      </c>
      <c r="C211" s="73">
        <v>1</v>
      </c>
      <c r="D211" s="43">
        <v>50</v>
      </c>
      <c r="E211" s="219"/>
      <c r="F211" s="219"/>
      <c r="T211" s="114"/>
      <c r="U211" s="114"/>
      <c r="V211" s="114"/>
    </row>
    <row r="212" spans="1:22" x14ac:dyDescent="0.2">
      <c r="A212" s="9">
        <v>42186</v>
      </c>
      <c r="B212" s="58">
        <v>4</v>
      </c>
      <c r="C212" s="73">
        <v>1</v>
      </c>
      <c r="D212" s="43">
        <v>100</v>
      </c>
      <c r="E212" s="219"/>
      <c r="F212" s="219"/>
      <c r="T212" s="114"/>
      <c r="U212" s="114"/>
      <c r="V212" s="114"/>
    </row>
    <row r="213" spans="1:22" x14ac:dyDescent="0.2">
      <c r="A213" s="9">
        <v>42217</v>
      </c>
      <c r="B213" s="58">
        <v>4</v>
      </c>
      <c r="C213" s="73">
        <v>0</v>
      </c>
      <c r="D213" s="43">
        <v>0</v>
      </c>
      <c r="E213" s="219"/>
      <c r="F213" s="219"/>
      <c r="T213" s="114"/>
      <c r="U213" s="114"/>
      <c r="V213" s="114"/>
    </row>
    <row r="214" spans="1:22" x14ac:dyDescent="0.2">
      <c r="A214" s="9">
        <v>42248</v>
      </c>
      <c r="B214" s="58">
        <v>4</v>
      </c>
      <c r="C214" s="73">
        <v>1</v>
      </c>
      <c r="D214" s="43">
        <v>50</v>
      </c>
      <c r="E214" s="219"/>
      <c r="F214" s="219"/>
      <c r="T214" s="114"/>
      <c r="U214" s="114"/>
      <c r="V214" s="114"/>
    </row>
    <row r="215" spans="1:22" x14ac:dyDescent="0.2">
      <c r="A215" s="110" t="s">
        <v>124</v>
      </c>
      <c r="B215" s="135"/>
      <c r="C215" s="63">
        <f>SUM(C203:C214)</f>
        <v>276</v>
      </c>
      <c r="D215" s="65">
        <f>SUM(D203:D214)</f>
        <v>7902.66</v>
      </c>
      <c r="E215" s="223"/>
      <c r="F215" s="223"/>
      <c r="T215" s="51"/>
      <c r="U215" s="50"/>
      <c r="V215" s="50"/>
    </row>
    <row r="216" spans="1:22" x14ac:dyDescent="0.2">
      <c r="A216" s="118" t="s">
        <v>100</v>
      </c>
      <c r="B216" s="77" t="s">
        <v>126</v>
      </c>
      <c r="C216" s="77"/>
      <c r="D216" s="77"/>
    </row>
    <row r="217" spans="1:22" x14ac:dyDescent="0.2">
      <c r="A217" s="118"/>
      <c r="B217" s="77" t="s">
        <v>150</v>
      </c>
      <c r="C217" s="77"/>
      <c r="D217" s="77"/>
    </row>
    <row r="218" spans="1:22" x14ac:dyDescent="0.2">
      <c r="A218" s="118"/>
      <c r="B218" s="77"/>
      <c r="C218" s="77"/>
      <c r="D218" s="77"/>
    </row>
    <row r="219" spans="1:22" ht="15.75" x14ac:dyDescent="0.25">
      <c r="A219" s="207" t="s">
        <v>102</v>
      </c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5"/>
      <c r="T219" s="205"/>
      <c r="U219" s="205"/>
      <c r="V219" s="205"/>
    </row>
    <row r="220" spans="1:22" ht="15.75" x14ac:dyDescent="0.25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3"/>
      <c r="T220" s="153"/>
      <c r="U220" s="153"/>
      <c r="V220" s="153"/>
    </row>
    <row r="221" spans="1:22" x14ac:dyDescent="0.2">
      <c r="A221" s="5"/>
      <c r="B221" s="211" t="s">
        <v>103</v>
      </c>
      <c r="C221" s="211"/>
      <c r="D221" s="211"/>
      <c r="E221" s="224"/>
      <c r="F221" s="224"/>
      <c r="T221" s="212" t="s">
        <v>80</v>
      </c>
      <c r="U221" s="213"/>
      <c r="V221" s="214"/>
    </row>
    <row r="222" spans="1:22" ht="48.75" customHeight="1" x14ac:dyDescent="0.2">
      <c r="A222" s="154" t="s">
        <v>1</v>
      </c>
      <c r="B222" s="115" t="s">
        <v>79</v>
      </c>
      <c r="C222" s="116" t="s">
        <v>83</v>
      </c>
      <c r="D222" s="116" t="s">
        <v>82</v>
      </c>
      <c r="E222" s="225" t="s">
        <v>81</v>
      </c>
      <c r="F222" s="226"/>
      <c r="T222" s="8" t="s">
        <v>93</v>
      </c>
      <c r="U222" s="8" t="s">
        <v>95</v>
      </c>
      <c r="V222" s="8" t="s">
        <v>94</v>
      </c>
    </row>
    <row r="223" spans="1:22" x14ac:dyDescent="0.2">
      <c r="A223" s="9">
        <v>41913</v>
      </c>
      <c r="B223" s="149">
        <v>680</v>
      </c>
      <c r="C223" s="73">
        <v>375</v>
      </c>
      <c r="D223" s="73">
        <v>280</v>
      </c>
      <c r="E223" s="222">
        <f t="shared" ref="E223:E228" si="9">D223/B223</f>
        <v>0.41176470588235292</v>
      </c>
      <c r="F223" s="222"/>
      <c r="T223" s="38">
        <f>(B223-'FY2014'!B223)/'FY2014'!B223</f>
        <v>4.7765793528505393E-2</v>
      </c>
      <c r="U223" s="38">
        <f>(C223-'FY2014'!C223)/'FY2014'!C223</f>
        <v>6.8376068376068383E-2</v>
      </c>
      <c r="V223" s="38">
        <f>(D223-'FY2014'!D223)/'FY2014'!D223</f>
        <v>4.0892193308550186E-2</v>
      </c>
    </row>
    <row r="224" spans="1:22" x14ac:dyDescent="0.2">
      <c r="A224" s="9">
        <v>41944</v>
      </c>
      <c r="B224" s="149">
        <v>683</v>
      </c>
      <c r="C224" s="73">
        <v>375</v>
      </c>
      <c r="D224" s="73">
        <v>274</v>
      </c>
      <c r="E224" s="222">
        <f t="shared" si="9"/>
        <v>0.40117130307467058</v>
      </c>
      <c r="F224" s="222"/>
      <c r="T224" s="38">
        <f>(B224-'FY2014'!B224)/'FY2014'!B224</f>
        <v>4.9155145929339478E-2</v>
      </c>
      <c r="U224" s="38">
        <f>(C224-'FY2014'!C224)/'FY2014'!C224</f>
        <v>4.456824512534819E-2</v>
      </c>
      <c r="V224" s="38">
        <f>(D224-'FY2014'!D224)/'FY2014'!D224</f>
        <v>1.4814814814814815E-2</v>
      </c>
    </row>
    <row r="225" spans="1:22" x14ac:dyDescent="0.2">
      <c r="A225" s="9">
        <v>41974</v>
      </c>
      <c r="B225" s="149">
        <v>688</v>
      </c>
      <c r="C225" s="73">
        <v>377</v>
      </c>
      <c r="D225" s="73">
        <v>272</v>
      </c>
      <c r="E225" s="222">
        <f t="shared" si="9"/>
        <v>0.39534883720930231</v>
      </c>
      <c r="F225" s="222"/>
      <c r="T225" s="38">
        <f>(B225-'FY2014'!B225)/'FY2014'!B225</f>
        <v>5.683563748079877E-2</v>
      </c>
      <c r="U225" s="38">
        <f>(C225-'FY2014'!C225)/'FY2014'!C225</f>
        <v>5.0139275766016712E-2</v>
      </c>
      <c r="V225" s="38">
        <f>(D225-'FY2014'!D225)/'FY2014'!D225</f>
        <v>1.1152416356877323E-2</v>
      </c>
    </row>
    <row r="226" spans="1:22" x14ac:dyDescent="0.2">
      <c r="A226" s="9">
        <v>42005</v>
      </c>
      <c r="B226" s="149">
        <v>694</v>
      </c>
      <c r="C226" s="73">
        <v>381</v>
      </c>
      <c r="D226" s="73">
        <v>258</v>
      </c>
      <c r="E226" s="222">
        <f t="shared" si="9"/>
        <v>0.37175792507204614</v>
      </c>
      <c r="F226" s="222"/>
      <c r="T226" s="38">
        <f>(B226-'FY2014'!B226)/'FY2014'!B226</f>
        <v>4.6757164404223228E-2</v>
      </c>
      <c r="U226" s="38">
        <f>(C226-'FY2014'!C226)/'FY2014'!C226</f>
        <v>5.5401662049861494E-2</v>
      </c>
      <c r="V226" s="38">
        <f>(D226-'FY2014'!D226)/'FY2014'!D226</f>
        <v>-3.7313432835820892E-2</v>
      </c>
    </row>
    <row r="227" spans="1:22" x14ac:dyDescent="0.2">
      <c r="A227" s="9">
        <v>42036</v>
      </c>
      <c r="B227" s="58">
        <v>694</v>
      </c>
      <c r="C227" s="73">
        <v>381</v>
      </c>
      <c r="D227" s="73">
        <v>255</v>
      </c>
      <c r="E227" s="222">
        <f t="shared" si="9"/>
        <v>0.36743515850144093</v>
      </c>
      <c r="F227" s="222"/>
      <c r="T227" s="38">
        <f>(B227-'FY2014'!B227)/'FY2014'!B227</f>
        <v>0.12297734627831715</v>
      </c>
      <c r="U227" s="38">
        <f>(C227-'FY2014'!C227)/'FY2014'!C227</f>
        <v>7.3239436619718309E-2</v>
      </c>
      <c r="V227" s="38">
        <f>(D227-'FY2014'!D227)/'FY2014'!D227</f>
        <v>-7.6086956521739135E-2</v>
      </c>
    </row>
    <row r="228" spans="1:22" x14ac:dyDescent="0.2">
      <c r="A228" s="9">
        <v>42064</v>
      </c>
      <c r="B228" s="58">
        <v>695</v>
      </c>
      <c r="C228" s="73">
        <v>384</v>
      </c>
      <c r="D228" s="73">
        <v>260</v>
      </c>
      <c r="E228" s="222">
        <f t="shared" si="9"/>
        <v>0.37410071942446044</v>
      </c>
      <c r="F228" s="222"/>
      <c r="T228" s="38">
        <f>(B228-'FY2014'!B228)/'FY2014'!B228</f>
        <v>6.9230769230769235E-2</v>
      </c>
      <c r="U228" s="38">
        <f>(C228-'FY2014'!C228)/'FY2014'!C228</f>
        <v>5.7851239669421489E-2</v>
      </c>
      <c r="V228" s="38">
        <f>(D228-'FY2014'!D228)/'FY2014'!D228</f>
        <v>-5.1094890510948905E-2</v>
      </c>
    </row>
    <row r="229" spans="1:22" x14ac:dyDescent="0.2">
      <c r="A229" s="9">
        <v>42095</v>
      </c>
      <c r="B229" s="58">
        <v>695</v>
      </c>
      <c r="C229" s="73">
        <v>384</v>
      </c>
      <c r="D229" s="73">
        <v>257</v>
      </c>
      <c r="E229" s="222">
        <f t="shared" ref="E229" si="10">D229/B229</f>
        <v>0.36978417266187052</v>
      </c>
      <c r="F229" s="222"/>
      <c r="T229" s="38"/>
      <c r="U229" s="38"/>
      <c r="V229" s="38"/>
    </row>
    <row r="230" spans="1:22" x14ac:dyDescent="0.2">
      <c r="A230" s="9">
        <v>42125</v>
      </c>
      <c r="B230" s="58">
        <v>695</v>
      </c>
      <c r="C230" s="73">
        <v>384</v>
      </c>
      <c r="D230" s="73">
        <v>251</v>
      </c>
      <c r="E230" s="222">
        <f t="shared" ref="E230" si="11">D230/B230</f>
        <v>0.36115107913669064</v>
      </c>
      <c r="F230" s="222"/>
      <c r="T230" s="38"/>
      <c r="U230" s="38"/>
      <c r="V230" s="38"/>
    </row>
    <row r="231" spans="1:22" x14ac:dyDescent="0.2">
      <c r="A231" s="9">
        <v>42156</v>
      </c>
      <c r="B231" s="58">
        <v>726</v>
      </c>
      <c r="C231" s="73">
        <v>387</v>
      </c>
      <c r="D231" s="73">
        <v>252</v>
      </c>
      <c r="E231" s="222">
        <f t="shared" ref="E231" si="12">D231/B231</f>
        <v>0.34710743801652894</v>
      </c>
      <c r="F231" s="222"/>
      <c r="T231" s="38"/>
      <c r="U231" s="38"/>
      <c r="V231" s="38"/>
    </row>
    <row r="232" spans="1:22" x14ac:dyDescent="0.2">
      <c r="A232" s="9">
        <v>42186</v>
      </c>
      <c r="B232" s="58">
        <v>723</v>
      </c>
      <c r="C232" s="73">
        <v>388</v>
      </c>
      <c r="D232" s="73">
        <v>254</v>
      </c>
      <c r="E232" s="222">
        <f t="shared" ref="E232" si="13">D232/B232</f>
        <v>0.35131396957123096</v>
      </c>
      <c r="F232" s="222"/>
      <c r="T232" s="38"/>
      <c r="U232" s="38"/>
      <c r="V232" s="38"/>
    </row>
    <row r="233" spans="1:22" x14ac:dyDescent="0.2">
      <c r="A233" s="9">
        <v>42217</v>
      </c>
      <c r="B233" s="58">
        <v>726</v>
      </c>
      <c r="C233" s="73">
        <v>389</v>
      </c>
      <c r="D233" s="73">
        <v>249</v>
      </c>
      <c r="E233" s="222">
        <f t="shared" ref="E233" si="14">D233/B233</f>
        <v>0.34297520661157027</v>
      </c>
      <c r="F233" s="222"/>
      <c r="T233" s="38"/>
      <c r="U233" s="38"/>
      <c r="V233" s="38"/>
    </row>
    <row r="234" spans="1:22" x14ac:dyDescent="0.2">
      <c r="A234" s="9">
        <v>42248</v>
      </c>
      <c r="B234" s="58">
        <v>730</v>
      </c>
      <c r="C234" s="73">
        <v>389</v>
      </c>
      <c r="D234" s="73">
        <v>245</v>
      </c>
      <c r="E234" s="222">
        <f t="shared" ref="E234" si="15">D234/B234</f>
        <v>0.33561643835616439</v>
      </c>
      <c r="F234" s="222"/>
      <c r="T234" s="38"/>
      <c r="U234" s="38"/>
      <c r="V234" s="38"/>
    </row>
    <row r="235" spans="1:22" x14ac:dyDescent="0.2">
      <c r="A235" s="130"/>
      <c r="B235" s="131"/>
      <c r="C235" s="132"/>
      <c r="D235" s="132"/>
      <c r="E235" s="151"/>
      <c r="F235" s="151"/>
      <c r="T235" s="50"/>
      <c r="U235" s="50"/>
      <c r="V235" s="50"/>
    </row>
    <row r="237" spans="1:22" x14ac:dyDescent="0.2">
      <c r="A237" s="5"/>
      <c r="B237" s="208" t="s">
        <v>104</v>
      </c>
      <c r="C237" s="224"/>
      <c r="D237" s="224"/>
      <c r="E237" s="224"/>
      <c r="F237" s="224"/>
      <c r="G237" s="224"/>
      <c r="H237" s="224"/>
      <c r="I237" s="224"/>
      <c r="J237" s="224"/>
      <c r="K237" s="224"/>
      <c r="L237" s="138"/>
      <c r="M237" s="138"/>
      <c r="N237" s="138"/>
    </row>
    <row r="238" spans="1:22" ht="36" x14ac:dyDescent="0.2">
      <c r="A238" s="154" t="s">
        <v>1</v>
      </c>
      <c r="B238" s="115" t="s">
        <v>105</v>
      </c>
      <c r="C238" s="116" t="s">
        <v>106</v>
      </c>
      <c r="D238" s="116" t="s">
        <v>107</v>
      </c>
      <c r="E238" s="228" t="s">
        <v>108</v>
      </c>
      <c r="F238" s="229"/>
      <c r="G238" s="139" t="s">
        <v>109</v>
      </c>
      <c r="H238" s="139" t="s">
        <v>110</v>
      </c>
      <c r="I238" s="115" t="s">
        <v>111</v>
      </c>
      <c r="J238" s="139" t="s">
        <v>112</v>
      </c>
      <c r="K238" s="139" t="s">
        <v>113</v>
      </c>
    </row>
    <row r="239" spans="1:22" x14ac:dyDescent="0.2">
      <c r="A239" s="9">
        <v>41913</v>
      </c>
      <c r="B239" s="58">
        <v>2</v>
      </c>
      <c r="C239" s="73">
        <v>1</v>
      </c>
      <c r="D239" s="137">
        <f t="shared" ref="D239:D250" si="16">C239/B239</f>
        <v>0.5</v>
      </c>
      <c r="E239" s="227">
        <v>4</v>
      </c>
      <c r="F239" s="224"/>
      <c r="G239" s="73">
        <v>4</v>
      </c>
      <c r="H239" s="137">
        <f t="shared" ref="H239:H250" si="17">G239/E239</f>
        <v>1</v>
      </c>
      <c r="I239" s="58">
        <v>28</v>
      </c>
      <c r="J239" s="73">
        <v>20</v>
      </c>
      <c r="K239" s="137">
        <f t="shared" ref="K239:K250" si="18">J239/I239</f>
        <v>0.7142857142857143</v>
      </c>
    </row>
    <row r="240" spans="1:22" x14ac:dyDescent="0.2">
      <c r="A240" s="9">
        <v>41944</v>
      </c>
      <c r="B240" s="149">
        <v>2</v>
      </c>
      <c r="C240" s="73">
        <v>1</v>
      </c>
      <c r="D240" s="137">
        <f t="shared" si="16"/>
        <v>0.5</v>
      </c>
      <c r="E240" s="227">
        <v>4</v>
      </c>
      <c r="F240" s="224"/>
      <c r="G240" s="73">
        <v>4</v>
      </c>
      <c r="H240" s="137">
        <f t="shared" si="17"/>
        <v>1</v>
      </c>
      <c r="I240" s="149">
        <v>28</v>
      </c>
      <c r="J240" s="73">
        <v>20</v>
      </c>
      <c r="K240" s="137">
        <f t="shared" si="18"/>
        <v>0.7142857142857143</v>
      </c>
    </row>
    <row r="241" spans="1:11" x14ac:dyDescent="0.2">
      <c r="A241" s="9">
        <v>41974</v>
      </c>
      <c r="B241" s="149">
        <v>2</v>
      </c>
      <c r="C241" s="73">
        <v>1</v>
      </c>
      <c r="D241" s="137">
        <f t="shared" si="16"/>
        <v>0.5</v>
      </c>
      <c r="E241" s="227">
        <v>4</v>
      </c>
      <c r="F241" s="224"/>
      <c r="G241" s="73">
        <v>4</v>
      </c>
      <c r="H241" s="137">
        <f t="shared" si="17"/>
        <v>1</v>
      </c>
      <c r="I241" s="149">
        <v>28</v>
      </c>
      <c r="J241" s="73">
        <v>19</v>
      </c>
      <c r="K241" s="137">
        <f t="shared" si="18"/>
        <v>0.6785714285714286</v>
      </c>
    </row>
    <row r="242" spans="1:11" x14ac:dyDescent="0.2">
      <c r="A242" s="9">
        <v>42005</v>
      </c>
      <c r="B242" s="149">
        <v>2</v>
      </c>
      <c r="C242" s="73">
        <v>1</v>
      </c>
      <c r="D242" s="137">
        <f t="shared" si="16"/>
        <v>0.5</v>
      </c>
      <c r="E242" s="227">
        <v>4</v>
      </c>
      <c r="F242" s="224"/>
      <c r="G242" s="73">
        <v>4</v>
      </c>
      <c r="H242" s="137">
        <f t="shared" si="17"/>
        <v>1</v>
      </c>
      <c r="I242" s="149">
        <v>28</v>
      </c>
      <c r="J242" s="73">
        <v>20</v>
      </c>
      <c r="K242" s="137">
        <f t="shared" si="18"/>
        <v>0.7142857142857143</v>
      </c>
    </row>
    <row r="243" spans="1:11" x14ac:dyDescent="0.2">
      <c r="A243" s="9">
        <v>42036</v>
      </c>
      <c r="B243" s="58">
        <v>2</v>
      </c>
      <c r="C243" s="73">
        <v>1</v>
      </c>
      <c r="D243" s="137">
        <f t="shared" si="16"/>
        <v>0.5</v>
      </c>
      <c r="E243" s="227">
        <v>4</v>
      </c>
      <c r="F243" s="224"/>
      <c r="G243" s="73">
        <v>3</v>
      </c>
      <c r="H243" s="137">
        <f t="shared" si="17"/>
        <v>0.75</v>
      </c>
      <c r="I243" s="58">
        <v>30</v>
      </c>
      <c r="J243" s="73">
        <f>31-9</f>
        <v>22</v>
      </c>
      <c r="K243" s="137">
        <f t="shared" si="18"/>
        <v>0.73333333333333328</v>
      </c>
    </row>
    <row r="244" spans="1:11" x14ac:dyDescent="0.2">
      <c r="A244" s="9">
        <v>42064</v>
      </c>
      <c r="B244" s="58">
        <v>2</v>
      </c>
      <c r="C244" s="73">
        <v>1</v>
      </c>
      <c r="D244" s="137">
        <f t="shared" si="16"/>
        <v>0.5</v>
      </c>
      <c r="E244" s="227">
        <v>4</v>
      </c>
      <c r="F244" s="224"/>
      <c r="G244" s="73">
        <v>3</v>
      </c>
      <c r="H244" s="137">
        <f t="shared" si="17"/>
        <v>0.75</v>
      </c>
      <c r="I244" s="58">
        <v>30</v>
      </c>
      <c r="J244" s="73">
        <v>20</v>
      </c>
      <c r="K244" s="137">
        <f t="shared" si="18"/>
        <v>0.66666666666666663</v>
      </c>
    </row>
    <row r="245" spans="1:11" x14ac:dyDescent="0.2">
      <c r="A245" s="9">
        <v>42095</v>
      </c>
      <c r="B245" s="58">
        <v>2</v>
      </c>
      <c r="C245" s="73">
        <v>2</v>
      </c>
      <c r="D245" s="137">
        <f t="shared" si="16"/>
        <v>1</v>
      </c>
      <c r="E245" s="227">
        <v>4</v>
      </c>
      <c r="F245" s="224"/>
      <c r="G245" s="73">
        <v>3</v>
      </c>
      <c r="H245" s="137">
        <f t="shared" si="17"/>
        <v>0.75</v>
      </c>
      <c r="I245" s="58">
        <v>30</v>
      </c>
      <c r="J245" s="73">
        <f>I245-13</f>
        <v>17</v>
      </c>
      <c r="K245" s="137">
        <f t="shared" si="18"/>
        <v>0.56666666666666665</v>
      </c>
    </row>
    <row r="246" spans="1:11" x14ac:dyDescent="0.2">
      <c r="A246" s="9">
        <v>42125</v>
      </c>
      <c r="B246" s="58">
        <v>2</v>
      </c>
      <c r="C246" s="73">
        <v>2</v>
      </c>
      <c r="D246" s="137">
        <f t="shared" si="16"/>
        <v>1</v>
      </c>
      <c r="E246" s="227">
        <v>4</v>
      </c>
      <c r="F246" s="224"/>
      <c r="G246" s="73">
        <v>3</v>
      </c>
      <c r="H246" s="137">
        <f t="shared" si="17"/>
        <v>0.75</v>
      </c>
      <c r="I246" s="58">
        <v>30</v>
      </c>
      <c r="J246" s="73">
        <f>I246-12</f>
        <v>18</v>
      </c>
      <c r="K246" s="137">
        <f t="shared" si="18"/>
        <v>0.6</v>
      </c>
    </row>
    <row r="247" spans="1:11" x14ac:dyDescent="0.2">
      <c r="A247" s="9">
        <v>42156</v>
      </c>
      <c r="B247" s="58">
        <v>2</v>
      </c>
      <c r="C247" s="73">
        <v>2</v>
      </c>
      <c r="D247" s="137">
        <f t="shared" si="16"/>
        <v>1</v>
      </c>
      <c r="E247" s="227">
        <v>4</v>
      </c>
      <c r="F247" s="224"/>
      <c r="G247" s="73">
        <v>3</v>
      </c>
      <c r="H247" s="137">
        <f t="shared" si="17"/>
        <v>0.75</v>
      </c>
      <c r="I247" s="58">
        <v>30</v>
      </c>
      <c r="J247" s="73">
        <v>20</v>
      </c>
      <c r="K247" s="137">
        <f t="shared" si="18"/>
        <v>0.66666666666666663</v>
      </c>
    </row>
    <row r="248" spans="1:11" x14ac:dyDescent="0.2">
      <c r="A248" s="9">
        <v>42186</v>
      </c>
      <c r="B248" s="58">
        <v>2</v>
      </c>
      <c r="C248" s="73">
        <v>2</v>
      </c>
      <c r="D248" s="137">
        <f t="shared" si="16"/>
        <v>1</v>
      </c>
      <c r="E248" s="227">
        <v>4</v>
      </c>
      <c r="F248" s="224"/>
      <c r="G248" s="73">
        <v>3</v>
      </c>
      <c r="H248" s="137">
        <f t="shared" si="17"/>
        <v>0.75</v>
      </c>
      <c r="I248" s="58">
        <v>30</v>
      </c>
      <c r="J248" s="73">
        <v>20</v>
      </c>
      <c r="K248" s="137">
        <f t="shared" si="18"/>
        <v>0.66666666666666663</v>
      </c>
    </row>
    <row r="249" spans="1:11" x14ac:dyDescent="0.2">
      <c r="A249" s="9">
        <v>42217</v>
      </c>
      <c r="B249" s="58">
        <v>2</v>
      </c>
      <c r="C249" s="73">
        <v>2</v>
      </c>
      <c r="D249" s="137">
        <f t="shared" si="16"/>
        <v>1</v>
      </c>
      <c r="E249" s="227">
        <v>4</v>
      </c>
      <c r="F249" s="224"/>
      <c r="G249" s="73">
        <v>3</v>
      </c>
      <c r="H249" s="137">
        <f t="shared" si="17"/>
        <v>0.75</v>
      </c>
      <c r="I249" s="58">
        <v>30</v>
      </c>
      <c r="J249" s="73">
        <v>17</v>
      </c>
      <c r="K249" s="137">
        <f t="shared" si="18"/>
        <v>0.56666666666666665</v>
      </c>
    </row>
    <row r="250" spans="1:11" x14ac:dyDescent="0.2">
      <c r="A250" s="9">
        <v>42248</v>
      </c>
      <c r="B250" s="58">
        <v>2</v>
      </c>
      <c r="C250" s="73">
        <v>2</v>
      </c>
      <c r="D250" s="137">
        <f t="shared" si="16"/>
        <v>1</v>
      </c>
      <c r="E250" s="227">
        <v>4</v>
      </c>
      <c r="F250" s="224"/>
      <c r="G250" s="73">
        <v>2</v>
      </c>
      <c r="H250" s="137">
        <f t="shared" si="17"/>
        <v>0.5</v>
      </c>
      <c r="I250" s="58">
        <v>30</v>
      </c>
      <c r="J250" s="73">
        <f>I250-12</f>
        <v>18</v>
      </c>
      <c r="K250" s="137">
        <f t="shared" si="18"/>
        <v>0.6</v>
      </c>
    </row>
  </sheetData>
  <mergeCells count="75">
    <mergeCell ref="B23:D23"/>
    <mergeCell ref="T23:V23"/>
    <mergeCell ref="A1:V1"/>
    <mergeCell ref="A2:V2"/>
    <mergeCell ref="A5:V5"/>
    <mergeCell ref="B7:D7"/>
    <mergeCell ref="T7:V7"/>
    <mergeCell ref="B40:D40"/>
    <mergeCell ref="T40:V40"/>
    <mergeCell ref="B57:D57"/>
    <mergeCell ref="T57:V57"/>
    <mergeCell ref="B74:D74"/>
    <mergeCell ref="T74:V74"/>
    <mergeCell ref="A179:V179"/>
    <mergeCell ref="B91:D91"/>
    <mergeCell ref="T91:V91"/>
    <mergeCell ref="B109:D109"/>
    <mergeCell ref="T109:V109"/>
    <mergeCell ref="B126:D126"/>
    <mergeCell ref="T126:V126"/>
    <mergeCell ref="A143:V143"/>
    <mergeCell ref="B145:D145"/>
    <mergeCell ref="T145:V145"/>
    <mergeCell ref="B162:D162"/>
    <mergeCell ref="T162:V162"/>
    <mergeCell ref="B181:D181"/>
    <mergeCell ref="T181:V181"/>
    <mergeCell ref="B197:C197"/>
    <mergeCell ref="A199:V199"/>
    <mergeCell ref="B201:D201"/>
    <mergeCell ref="T201:V201"/>
    <mergeCell ref="E213:F213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28:F228"/>
    <mergeCell ref="E214:F214"/>
    <mergeCell ref="E215:F215"/>
    <mergeCell ref="A219:V219"/>
    <mergeCell ref="B221:F221"/>
    <mergeCell ref="T221:V221"/>
    <mergeCell ref="E222:F222"/>
    <mergeCell ref="E223:F223"/>
    <mergeCell ref="E224:F224"/>
    <mergeCell ref="E225:F225"/>
    <mergeCell ref="E226:F226"/>
    <mergeCell ref="E227:F227"/>
    <mergeCell ref="E242:F242"/>
    <mergeCell ref="E229:F229"/>
    <mergeCell ref="E230:F230"/>
    <mergeCell ref="E231:F231"/>
    <mergeCell ref="E232:F232"/>
    <mergeCell ref="E233:F233"/>
    <mergeCell ref="E234:F234"/>
    <mergeCell ref="B237:K237"/>
    <mergeCell ref="E238:F238"/>
    <mergeCell ref="E239:F239"/>
    <mergeCell ref="E240:F240"/>
    <mergeCell ref="E241:F241"/>
    <mergeCell ref="E249:F249"/>
    <mergeCell ref="E250:F250"/>
    <mergeCell ref="E243:F243"/>
    <mergeCell ref="E244:F244"/>
    <mergeCell ref="E245:F245"/>
    <mergeCell ref="E246:F246"/>
    <mergeCell ref="E247:F247"/>
    <mergeCell ref="E248:F248"/>
  </mergeCells>
  <printOptions horizontalCentered="1" verticalCentered="1"/>
  <pageMargins left="0.16" right="0.17" top="0.54" bottom="0.56000000000000005" header="0.5" footer="0.5"/>
  <pageSetup scale="58" fitToHeight="8" orientation="landscape" r:id="rId1"/>
  <headerFooter alignWithMargins="0">
    <oddFooter>&amp;Rpage &amp;P</oddFooter>
  </headerFooter>
  <rowBreaks count="5" manualBreakCount="5">
    <brk id="55" max="21" man="1"/>
    <brk id="107" max="21" man="1"/>
    <brk id="142" max="21" man="1"/>
    <brk id="177" max="21" man="1"/>
    <brk id="218" max="2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0"/>
  <sheetViews>
    <sheetView view="pageBreakPreview" topLeftCell="A10" zoomScale="90" zoomScaleNormal="100" zoomScaleSheetLayoutView="90" workbookViewId="0">
      <selection activeCell="B123" sqref="B123"/>
    </sheetView>
  </sheetViews>
  <sheetFormatPr defaultRowHeight="12.75" x14ac:dyDescent="0.2"/>
  <cols>
    <col min="1" max="1" width="15" customWidth="1"/>
    <col min="2" max="2" width="14.7109375" bestFit="1" customWidth="1"/>
    <col min="3" max="3" width="14.5703125" bestFit="1" customWidth="1"/>
    <col min="4" max="4" width="15" customWidth="1"/>
    <col min="5" max="5" width="3.28515625" customWidth="1"/>
    <col min="6" max="6" width="7.42578125" customWidth="1"/>
    <col min="19" max="19" width="8" customWidth="1"/>
    <col min="20" max="20" width="8.42578125" customWidth="1"/>
    <col min="21" max="21" width="10" bestFit="1" customWidth="1"/>
    <col min="22" max="22" width="9.28515625" bestFit="1" customWidth="1"/>
  </cols>
  <sheetData>
    <row r="1" spans="1:22" ht="18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5"/>
      <c r="T1" s="205"/>
      <c r="U1" s="205"/>
      <c r="V1" s="205"/>
    </row>
    <row r="2" spans="1:22" ht="15.75" x14ac:dyDescent="0.25">
      <c r="A2" s="206" t="s">
        <v>118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5"/>
      <c r="T2" s="205"/>
      <c r="U2" s="205"/>
      <c r="V2" s="205"/>
    </row>
    <row r="3" spans="1:22" ht="15.75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1"/>
      <c r="T3" s="141"/>
      <c r="U3" s="141"/>
      <c r="V3" s="141"/>
    </row>
    <row r="4" spans="1:22" ht="15.75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1"/>
      <c r="T4" s="141"/>
      <c r="U4" s="141"/>
      <c r="V4" s="141"/>
    </row>
    <row r="5" spans="1:22" ht="15.75" x14ac:dyDescent="0.25">
      <c r="A5" s="207" t="s">
        <v>12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5"/>
      <c r="T5" s="205"/>
      <c r="U5" s="205"/>
      <c r="V5" s="205"/>
    </row>
    <row r="7" spans="1:22" x14ac:dyDescent="0.2">
      <c r="B7" s="203" t="s">
        <v>5</v>
      </c>
      <c r="C7" s="203"/>
      <c r="D7" s="203"/>
      <c r="F7" s="16"/>
      <c r="T7" s="203" t="s">
        <v>5</v>
      </c>
      <c r="U7" s="203"/>
      <c r="V7" s="203"/>
    </row>
    <row r="8" spans="1:22" s="4" customFormat="1" ht="36" x14ac:dyDescent="0.2">
      <c r="A8" s="8" t="s">
        <v>1</v>
      </c>
      <c r="B8" s="8" t="s">
        <v>2</v>
      </c>
      <c r="C8" s="8" t="s">
        <v>3</v>
      </c>
      <c r="D8" s="8" t="s">
        <v>4</v>
      </c>
      <c r="E8" s="3"/>
      <c r="F8" s="2"/>
      <c r="T8" s="8" t="s">
        <v>9</v>
      </c>
      <c r="U8" s="8" t="s">
        <v>10</v>
      </c>
      <c r="V8" s="8" t="s">
        <v>11</v>
      </c>
    </row>
    <row r="9" spans="1:22" s="5" customFormat="1" ht="12" x14ac:dyDescent="0.2">
      <c r="A9" s="9">
        <v>41548</v>
      </c>
      <c r="B9" s="47">
        <v>689409353</v>
      </c>
      <c r="C9" s="47">
        <v>196737992</v>
      </c>
      <c r="D9" s="48">
        <f t="shared" ref="D9:D20" si="0">SUM(B9:C9)</f>
        <v>886147345</v>
      </c>
      <c r="T9" s="38">
        <f>(B9-'FY2013'!B9)/'FY2013'!B9</f>
        <v>1.3464590253660874E-2</v>
      </c>
      <c r="U9" s="38">
        <f>(C9-'FY2013'!C9)/'FY2013'!C9</f>
        <v>-0.10966289589773558</v>
      </c>
      <c r="V9" s="38">
        <f>(D9-'FY2013'!D9)/'FY2013'!D9</f>
        <v>-1.6725041313786552E-2</v>
      </c>
    </row>
    <row r="10" spans="1:22" s="5" customFormat="1" ht="12" x14ac:dyDescent="0.2">
      <c r="A10" s="9">
        <v>41579</v>
      </c>
      <c r="B10" s="47">
        <v>693290007</v>
      </c>
      <c r="C10" s="47">
        <v>243093144</v>
      </c>
      <c r="D10" s="48">
        <f t="shared" si="0"/>
        <v>936383151</v>
      </c>
      <c r="T10" s="38">
        <f>(B10-'FY2013'!B10)/'FY2013'!B10</f>
        <v>6.6275365091243391E-2</v>
      </c>
      <c r="U10" s="38">
        <f>(C10-'FY2013'!C10)/'FY2013'!C10</f>
        <v>4.7427276924400519E-2</v>
      </c>
      <c r="V10" s="38">
        <f>(D10-'FY2013'!D10)/'FY2013'!D10</f>
        <v>6.1317350400858193E-2</v>
      </c>
    </row>
    <row r="11" spans="1:22" s="5" customFormat="1" ht="12" x14ac:dyDescent="0.2">
      <c r="A11" s="9">
        <v>41609</v>
      </c>
      <c r="B11" s="47">
        <v>673525486</v>
      </c>
      <c r="C11" s="47">
        <v>222038681</v>
      </c>
      <c r="D11" s="48">
        <f t="shared" si="0"/>
        <v>895564167</v>
      </c>
      <c r="T11" s="38">
        <f>(B11-'FY2013'!B11)/'FY2013'!B11</f>
        <v>1.6242613211950162E-2</v>
      </c>
      <c r="U11" s="38">
        <f>(C11-'FY2013'!C11)/'FY2013'!C11</f>
        <v>-8.4826811421200132E-2</v>
      </c>
      <c r="V11" s="38">
        <f>(D11-'FY2013'!D11)/'FY2013'!D11</f>
        <v>-1.0841481926043216E-2</v>
      </c>
    </row>
    <row r="12" spans="1:22" s="5" customFormat="1" ht="12" x14ac:dyDescent="0.2">
      <c r="A12" s="9">
        <v>41640</v>
      </c>
      <c r="B12" s="47">
        <v>682596248</v>
      </c>
      <c r="C12" s="47">
        <v>224415244</v>
      </c>
      <c r="D12" s="48">
        <f t="shared" si="0"/>
        <v>907011492</v>
      </c>
      <c r="T12" s="38">
        <f>(B12-'FY2013'!B12)/'FY2013'!B12</f>
        <v>-5.1515607824409683E-3</v>
      </c>
      <c r="U12" s="38">
        <f>(C12-'FY2013'!C12)/'FY2013'!C12</f>
        <v>2.7137396841263588E-2</v>
      </c>
      <c r="V12" s="38">
        <f>(D12-'FY2013'!D12)/'FY2013'!D12</f>
        <v>2.6469754808154484E-3</v>
      </c>
    </row>
    <row r="13" spans="1:22" s="5" customFormat="1" ht="12" x14ac:dyDescent="0.2">
      <c r="A13" s="9">
        <v>41671</v>
      </c>
      <c r="B13" s="47">
        <v>647829362</v>
      </c>
      <c r="C13" s="47">
        <v>218904018</v>
      </c>
      <c r="D13" s="48">
        <f t="shared" si="0"/>
        <v>866733380</v>
      </c>
      <c r="T13" s="38">
        <f>(B13-'FY2013'!B13)/'FY2013'!B13</f>
        <v>2.3147826460023807E-2</v>
      </c>
      <c r="U13" s="38">
        <f>(C13-'FY2013'!C13)/'FY2013'!C13</f>
        <v>-2.296859017674395E-2</v>
      </c>
      <c r="V13" s="38">
        <f>(D13-'FY2013'!D13)/'FY2013'!D13</f>
        <v>1.1094498148909117E-2</v>
      </c>
    </row>
    <row r="14" spans="1:22" s="5" customFormat="1" ht="12" x14ac:dyDescent="0.2">
      <c r="A14" s="9">
        <v>41699</v>
      </c>
      <c r="B14" s="47">
        <v>723835475</v>
      </c>
      <c r="C14" s="47">
        <v>237950792</v>
      </c>
      <c r="D14" s="48">
        <f t="shared" si="0"/>
        <v>961786267</v>
      </c>
      <c r="T14" s="38">
        <f>(B14-'FY2013'!B14)/'FY2013'!B14</f>
        <v>-5.4955548503227789E-3</v>
      </c>
      <c r="U14" s="38">
        <f>(C14-'FY2013'!C14)/'FY2013'!C14</f>
        <v>-5.2235552015370279E-2</v>
      </c>
      <c r="V14" s="38">
        <f>(D14-'FY2013'!D14)/'FY2013'!D14</f>
        <v>-1.7483280647735428E-2</v>
      </c>
    </row>
    <row r="15" spans="1:22" s="5" customFormat="1" ht="12" x14ac:dyDescent="0.2">
      <c r="A15" s="9">
        <v>41730</v>
      </c>
      <c r="B15" s="47">
        <v>735333649</v>
      </c>
      <c r="C15" s="47">
        <v>220244625</v>
      </c>
      <c r="D15" s="48">
        <f t="shared" si="0"/>
        <v>955578274</v>
      </c>
      <c r="T15" s="38">
        <f>(B15-'FY2013'!B15)/'FY2013'!B15</f>
        <v>8.4090937625013795E-2</v>
      </c>
      <c r="U15" s="38">
        <f>(C15-'FY2013'!C15)/'FY2013'!C15</f>
        <v>1.3371091871216913E-2</v>
      </c>
      <c r="V15" s="38">
        <f>(D15-'FY2013'!D15)/'FY2013'!D15</f>
        <v>6.6929737148145832E-2</v>
      </c>
    </row>
    <row r="16" spans="1:22" s="5" customFormat="1" ht="12" x14ac:dyDescent="0.2">
      <c r="A16" s="9">
        <v>41760</v>
      </c>
      <c r="B16" s="47">
        <v>790695800</v>
      </c>
      <c r="C16" s="47">
        <v>233744781</v>
      </c>
      <c r="D16" s="48">
        <f t="shared" si="0"/>
        <v>1024440581</v>
      </c>
      <c r="T16" s="38">
        <f>(B16-'FY2013'!B16)/'FY2013'!B16</f>
        <v>1.6923748550808439E-2</v>
      </c>
      <c r="U16" s="38">
        <f>(C16-'FY2013'!C16)/'FY2013'!C16</f>
        <v>1.7509712251440642E-3</v>
      </c>
      <c r="V16" s="38">
        <f>(D16-'FY2013'!D16)/'FY2013'!D16</f>
        <v>1.3421470983814096E-2</v>
      </c>
    </row>
    <row r="17" spans="1:22" s="5" customFormat="1" ht="12" x14ac:dyDescent="0.2">
      <c r="A17" s="9">
        <v>41791</v>
      </c>
      <c r="B17" s="47">
        <v>764718191</v>
      </c>
      <c r="C17" s="47">
        <v>217864234</v>
      </c>
      <c r="D17" s="48">
        <f t="shared" si="0"/>
        <v>982582425</v>
      </c>
      <c r="T17" s="38">
        <f>(B17-'FY2013'!B17)/'FY2013'!B17</f>
        <v>1.2024893621503083E-2</v>
      </c>
      <c r="U17" s="38">
        <f>(C17-'FY2013'!C17)/'FY2013'!C17</f>
        <v>-4.4176340518823777E-2</v>
      </c>
      <c r="V17" s="38">
        <f>(D17-'FY2013'!D17)/'FY2013'!D17</f>
        <v>-9.992991812548702E-4</v>
      </c>
    </row>
    <row r="18" spans="1:22" s="5" customFormat="1" ht="12" x14ac:dyDescent="0.2">
      <c r="A18" s="9">
        <v>41821</v>
      </c>
      <c r="B18" s="47">
        <v>814964719</v>
      </c>
      <c r="C18" s="47">
        <v>216560864</v>
      </c>
      <c r="D18" s="48">
        <f t="shared" si="0"/>
        <v>1031525583</v>
      </c>
      <c r="T18" s="38">
        <f>(B18-'FY2013'!B18)/'FY2013'!B18</f>
        <v>7.9830082281320519E-2</v>
      </c>
      <c r="U18" s="38">
        <f>(C18-'FY2013'!C18)/'FY2013'!C18</f>
        <v>6.0560473604052457E-2</v>
      </c>
      <c r="V18" s="38">
        <f>(D18-'FY2013'!D18)/'FY2013'!D18</f>
        <v>7.5726724478818619E-2</v>
      </c>
    </row>
    <row r="19" spans="1:22" s="5" customFormat="1" ht="12" x14ac:dyDescent="0.2">
      <c r="A19" s="9">
        <v>41852</v>
      </c>
      <c r="B19" s="47">
        <v>843195944</v>
      </c>
      <c r="C19" s="47">
        <v>245337299</v>
      </c>
      <c r="D19" s="48">
        <f t="shared" si="0"/>
        <v>1088533243</v>
      </c>
      <c r="T19" s="38">
        <f>(B19-'FY2013'!B19)/'FY2013'!B19</f>
        <v>7.7727655574458016E-2</v>
      </c>
      <c r="U19" s="38">
        <f>(C19-'FY2013'!C19)/'FY2013'!C19</f>
        <v>4.5495889008995864E-2</v>
      </c>
      <c r="V19" s="38">
        <f>(D19-'FY2013'!D19)/'FY2013'!D19</f>
        <v>7.0290866194378424E-2</v>
      </c>
    </row>
    <row r="20" spans="1:22" s="5" customFormat="1" ht="12" x14ac:dyDescent="0.2">
      <c r="A20" s="9">
        <v>41883</v>
      </c>
      <c r="B20" s="47">
        <v>744935941</v>
      </c>
      <c r="C20" s="47">
        <v>214966735</v>
      </c>
      <c r="D20" s="48">
        <f t="shared" si="0"/>
        <v>959902676</v>
      </c>
      <c r="T20" s="38">
        <f>(B20-'FY2013'!B20)/'FY2013'!B20</f>
        <v>4.4764758966741633E-2</v>
      </c>
      <c r="U20" s="38">
        <f>(C20-'FY2013'!C20)/'FY2013'!C20</f>
        <v>-3.157041452731494E-2</v>
      </c>
      <c r="V20" s="38">
        <f>(D20-'FY2013'!D20)/'FY2013'!D20</f>
        <v>2.6642187837516099E-2</v>
      </c>
    </row>
    <row r="21" spans="1:22" s="6" customFormat="1" ht="12" x14ac:dyDescent="0.2">
      <c r="A21" s="108" t="s">
        <v>119</v>
      </c>
      <c r="B21" s="49">
        <f>SUM(B9:B20)</f>
        <v>8804330175</v>
      </c>
      <c r="C21" s="49">
        <f>SUM(C9:C20)</f>
        <v>2691858409</v>
      </c>
      <c r="D21" s="49">
        <f>SUM(D9:D20)</f>
        <v>11496188584</v>
      </c>
      <c r="T21" s="39">
        <f>AVERAGE(T9:T20)</f>
        <v>3.5320446333663331E-2</v>
      </c>
      <c r="U21" s="39">
        <f>AVERAGE(U9:U20)</f>
        <v>-1.2474792090176273E-2</v>
      </c>
      <c r="V21" s="39">
        <f>AVERAGE(V9:V20)</f>
        <v>2.350172563370298E-2</v>
      </c>
    </row>
    <row r="22" spans="1:22" s="5" customFormat="1" ht="12" x14ac:dyDescent="0.2"/>
    <row r="23" spans="1:22" s="5" customFormat="1" x14ac:dyDescent="0.2">
      <c r="B23" s="202" t="s">
        <v>6</v>
      </c>
      <c r="C23" s="202"/>
      <c r="D23" s="202"/>
      <c r="T23" s="203" t="s">
        <v>6</v>
      </c>
      <c r="U23" s="203"/>
      <c r="V23" s="203"/>
    </row>
    <row r="24" spans="1:22" s="5" customFormat="1" ht="36" x14ac:dyDescent="0.2">
      <c r="A24" s="144" t="s">
        <v>1</v>
      </c>
      <c r="B24" s="144" t="s">
        <v>2</v>
      </c>
      <c r="C24" s="144" t="s">
        <v>3</v>
      </c>
      <c r="D24" s="144" t="s">
        <v>4</v>
      </c>
      <c r="T24" s="8" t="s">
        <v>9</v>
      </c>
      <c r="U24" s="8" t="s">
        <v>10</v>
      </c>
      <c r="V24" s="8" t="s">
        <v>11</v>
      </c>
    </row>
    <row r="25" spans="1:22" s="5" customFormat="1" ht="12" x14ac:dyDescent="0.2">
      <c r="A25" s="9">
        <v>41548</v>
      </c>
      <c r="B25" s="13">
        <v>6142595</v>
      </c>
      <c r="C25" s="13">
        <v>2747440</v>
      </c>
      <c r="D25" s="33">
        <f t="shared" ref="D25:D36" si="1">SUM(B25:C25)</f>
        <v>8890035</v>
      </c>
      <c r="T25" s="38">
        <f>(B25-'FY2013'!B25)/'FY2013'!B25</f>
        <v>-1.8092396835756773E-2</v>
      </c>
      <c r="U25" s="38">
        <f>(C25-'FY2013'!C25)/'FY2013'!C25</f>
        <v>-0.11061302194559713</v>
      </c>
      <c r="V25" s="38">
        <f>(D25-'FY2013'!D25)/'FY2013'!D25</f>
        <v>-4.8676842039029562E-2</v>
      </c>
    </row>
    <row r="26" spans="1:22" s="5" customFormat="1" ht="12" x14ac:dyDescent="0.2">
      <c r="A26" s="9">
        <v>41579</v>
      </c>
      <c r="B26" s="13">
        <v>6223958</v>
      </c>
      <c r="C26" s="13">
        <v>3258616</v>
      </c>
      <c r="D26" s="33">
        <f t="shared" si="1"/>
        <v>9482574</v>
      </c>
      <c r="T26" s="38">
        <f>(B26-'FY2013'!B26)/'FY2013'!B26</f>
        <v>5.0615569674141547E-2</v>
      </c>
      <c r="U26" s="38">
        <f>(C26-'FY2013'!C26)/'FY2013'!C26</f>
        <v>4.1126965043213941E-2</v>
      </c>
      <c r="V26" s="38">
        <f>(D26-'FY2013'!D26)/'FY2013'!D26</f>
        <v>4.7335437081448759E-2</v>
      </c>
    </row>
    <row r="27" spans="1:22" s="5" customFormat="1" ht="12" x14ac:dyDescent="0.2">
      <c r="A27" s="9">
        <v>41609</v>
      </c>
      <c r="B27" s="13">
        <v>6021463</v>
      </c>
      <c r="C27" s="13">
        <v>2999811</v>
      </c>
      <c r="D27" s="33">
        <f t="shared" si="1"/>
        <v>9021274</v>
      </c>
      <c r="T27" s="38">
        <f>(B27-'FY2013'!B27)/'FY2013'!B27</f>
        <v>2.5184292544430602E-2</v>
      </c>
      <c r="U27" s="38">
        <f>(C27-'FY2013'!C27)/'FY2013'!C27</f>
        <v>-4.477181822900364E-2</v>
      </c>
      <c r="V27" s="38">
        <f>(D27-'FY2013'!D27)/'FY2013'!D27</f>
        <v>8.1196322812794163E-4</v>
      </c>
    </row>
    <row r="28" spans="1:22" s="5" customFormat="1" ht="12" x14ac:dyDescent="0.2">
      <c r="A28" s="9">
        <v>41640</v>
      </c>
      <c r="B28" s="13">
        <v>6527079</v>
      </c>
      <c r="C28" s="13">
        <v>3104244</v>
      </c>
      <c r="D28" s="33">
        <f t="shared" si="1"/>
        <v>9631323</v>
      </c>
      <c r="T28" s="38">
        <f>(B28-'FY2013'!B28)/'FY2013'!B28</f>
        <v>2.8634687184268367E-2</v>
      </c>
      <c r="U28" s="38">
        <f>(C28-'FY2013'!C28)/'FY2013'!C28</f>
        <v>1.0182384767230488E-2</v>
      </c>
      <c r="V28" s="38">
        <f>(D28-'FY2013'!D28)/'FY2013'!D28</f>
        <v>2.2614188176572611E-2</v>
      </c>
    </row>
    <row r="29" spans="1:22" s="5" customFormat="1" ht="12" x14ac:dyDescent="0.2">
      <c r="A29" s="9">
        <v>41671</v>
      </c>
      <c r="B29" s="13">
        <v>6239059</v>
      </c>
      <c r="C29" s="13">
        <v>2976107</v>
      </c>
      <c r="D29" s="33">
        <f t="shared" si="1"/>
        <v>9215166</v>
      </c>
      <c r="T29" s="38">
        <f>(B29-'FY2013'!B29)/'FY2013'!B29</f>
        <v>2.4863926330080596E-2</v>
      </c>
      <c r="U29" s="38">
        <f>(C29-'FY2013'!C29)/'FY2013'!C29</f>
        <v>-1.806192982166719E-2</v>
      </c>
      <c r="V29" s="38">
        <f>(D29-'FY2013'!D29)/'FY2013'!D29</f>
        <v>1.05960983906972E-2</v>
      </c>
    </row>
    <row r="30" spans="1:22" s="5" customFormat="1" ht="12" x14ac:dyDescent="0.2">
      <c r="A30" s="9">
        <v>41699</v>
      </c>
      <c r="B30" s="13">
        <v>7113418</v>
      </c>
      <c r="C30" s="13">
        <v>3303871</v>
      </c>
      <c r="D30" s="33">
        <f t="shared" si="1"/>
        <v>10417289</v>
      </c>
      <c r="T30" s="38">
        <f>(B30-'FY2013'!B30)/'FY2013'!B30</f>
        <v>1.4369316254295272E-2</v>
      </c>
      <c r="U30" s="38">
        <f>(C30-'FY2013'!C30)/'FY2013'!C30</f>
        <v>-3.3411223224313814E-2</v>
      </c>
      <c r="V30" s="38">
        <f>(D30-'FY2013'!D30)/'FY2013'!D30</f>
        <v>-1.2880218094161056E-3</v>
      </c>
    </row>
    <row r="31" spans="1:22" s="5" customFormat="1" ht="12" x14ac:dyDescent="0.2">
      <c r="A31" s="9">
        <v>41730</v>
      </c>
      <c r="B31" s="13">
        <v>7177433</v>
      </c>
      <c r="C31" s="13">
        <v>3152248</v>
      </c>
      <c r="D31" s="33">
        <f t="shared" si="1"/>
        <v>10329681</v>
      </c>
      <c r="T31" s="38">
        <f>(B31-'FY2013'!B31)/'FY2013'!B31</f>
        <v>7.6919395112998445E-2</v>
      </c>
      <c r="U31" s="38">
        <f>(C31-'FY2013'!C31)/'FY2013'!C31</f>
        <v>1.4760513469628469E-2</v>
      </c>
      <c r="V31" s="38">
        <f>(D31-'FY2013'!D31)/'FY2013'!D31</f>
        <v>5.7158205489655389E-2</v>
      </c>
    </row>
    <row r="32" spans="1:22" s="5" customFormat="1" ht="12" x14ac:dyDescent="0.2">
      <c r="A32" s="9">
        <v>41760</v>
      </c>
      <c r="B32" s="13">
        <v>7540055</v>
      </c>
      <c r="C32" s="13">
        <v>3322288</v>
      </c>
      <c r="D32" s="33">
        <f t="shared" si="1"/>
        <v>10862343</v>
      </c>
      <c r="T32" s="38">
        <f>(B32-'FY2013'!B32)/'FY2013'!B32</f>
        <v>4.1820353622199179E-2</v>
      </c>
      <c r="U32" s="38">
        <f>(C32-'FY2013'!C32)/'FY2013'!C32</f>
        <v>-1.3598604309471049E-3</v>
      </c>
      <c r="V32" s="38">
        <f>(D32-'FY2013'!D32)/'FY2013'!D32</f>
        <v>2.8222305964192073E-2</v>
      </c>
    </row>
    <row r="33" spans="1:22" s="5" customFormat="1" ht="12" x14ac:dyDescent="0.2">
      <c r="A33" s="9">
        <v>41791</v>
      </c>
      <c r="B33" s="13">
        <v>7353600</v>
      </c>
      <c r="C33" s="13">
        <v>3126117</v>
      </c>
      <c r="D33" s="33">
        <f t="shared" si="1"/>
        <v>10479717</v>
      </c>
      <c r="T33" s="38">
        <f>(B33-'FY2013'!B33)/'FY2013'!B33</f>
        <v>2.4477340460390667E-2</v>
      </c>
      <c r="U33" s="38">
        <f>(C33-'FY2013'!C33)/'FY2013'!C33</f>
        <v>-1.6033706666263779E-2</v>
      </c>
      <c r="V33" s="38">
        <f>(D33-'FY2013'!D33)/'FY2013'!D33</f>
        <v>1.2047944941559896E-2</v>
      </c>
    </row>
    <row r="34" spans="1:22" s="5" customFormat="1" ht="12" x14ac:dyDescent="0.2">
      <c r="A34" s="9">
        <v>41821</v>
      </c>
      <c r="B34" s="13">
        <v>7873905</v>
      </c>
      <c r="C34" s="13">
        <v>3109711</v>
      </c>
      <c r="D34" s="33">
        <f t="shared" si="1"/>
        <v>10983616</v>
      </c>
      <c r="T34" s="38">
        <f>(B34-'FY2013'!B34)/'FY2013'!B34</f>
        <v>0.119815440128759</v>
      </c>
      <c r="U34" s="38">
        <f>(C34-'FY2013'!C34)/'FY2013'!C34</f>
        <v>0.11218401739603152</v>
      </c>
      <c r="V34" s="38">
        <f>(D34-'FY2013'!D34)/'FY2013'!D34</f>
        <v>0.1176442036817</v>
      </c>
    </row>
    <row r="35" spans="1:22" s="5" customFormat="1" ht="12" x14ac:dyDescent="0.2">
      <c r="A35" s="9">
        <v>41852</v>
      </c>
      <c r="B35" s="13">
        <v>7751468</v>
      </c>
      <c r="C35" s="13">
        <v>3361642</v>
      </c>
      <c r="D35" s="33">
        <f t="shared" si="1"/>
        <v>11113110</v>
      </c>
      <c r="T35" s="38">
        <f>(B35-'FY2013'!B35)/'FY2013'!B35</f>
        <v>8.1926072243900069E-2</v>
      </c>
      <c r="U35" s="38">
        <f>(C35-'FY2013'!C35)/'FY2013'!C35</f>
        <v>6.7637700072379695E-2</v>
      </c>
      <c r="V35" s="38">
        <f>(D35-'FY2013'!D35)/'FY2013'!D35</f>
        <v>7.7563750699226552E-2</v>
      </c>
    </row>
    <row r="36" spans="1:22" s="5" customFormat="1" ht="12" x14ac:dyDescent="0.2">
      <c r="A36" s="9">
        <v>41883</v>
      </c>
      <c r="B36" s="13">
        <v>7077567</v>
      </c>
      <c r="C36" s="13">
        <v>3090778</v>
      </c>
      <c r="D36" s="33">
        <f t="shared" si="1"/>
        <v>10168345</v>
      </c>
      <c r="T36" s="38">
        <f>(B36-'FY2013'!B36)/'FY2013'!B36</f>
        <v>9.698444118025884E-2</v>
      </c>
      <c r="U36" s="38">
        <f>(C36-'FY2013'!C36)/'FY2013'!C36</f>
        <v>5.5615624170459626E-4</v>
      </c>
      <c r="V36" s="38">
        <f>(D36-'FY2013'!D36)/'FY2013'!D36</f>
        <v>6.576382372352961E-2</v>
      </c>
    </row>
    <row r="37" spans="1:22" s="6" customFormat="1" ht="12" x14ac:dyDescent="0.2">
      <c r="A37" s="108" t="s">
        <v>119</v>
      </c>
      <c r="B37" s="40">
        <f>SUM(B25:B36)</f>
        <v>83041600</v>
      </c>
      <c r="C37" s="40">
        <f>SUM(C25:C36)</f>
        <v>37552873</v>
      </c>
      <c r="D37" s="40">
        <f>SUM(D25:D36)</f>
        <v>120594473</v>
      </c>
      <c r="T37" s="39">
        <f>AVERAGE(T25:T36)</f>
        <v>4.7293203158330487E-2</v>
      </c>
      <c r="U37" s="39">
        <f>AVERAGE(U25:U36)</f>
        <v>1.8496813893663408E-3</v>
      </c>
      <c r="V37" s="39">
        <f>AVERAGE(V25:V36)</f>
        <v>3.2482754794022038E-2</v>
      </c>
    </row>
    <row r="38" spans="1:22" s="6" customFormat="1" ht="12" x14ac:dyDescent="0.2">
      <c r="A38" s="17"/>
      <c r="B38" s="85"/>
      <c r="C38" s="85"/>
      <c r="D38" s="85"/>
      <c r="T38" s="51"/>
      <c r="U38" s="51"/>
      <c r="V38" s="51"/>
    </row>
    <row r="39" spans="1:22" s="6" customFormat="1" ht="12" x14ac:dyDescent="0.2">
      <c r="A39" s="17"/>
      <c r="B39" s="17"/>
      <c r="C39" s="17"/>
      <c r="D39" s="17"/>
      <c r="T39" s="18"/>
      <c r="U39" s="18"/>
      <c r="V39" s="18"/>
    </row>
    <row r="40" spans="1:22" s="6" customFormat="1" x14ac:dyDescent="0.2">
      <c r="A40" s="5"/>
      <c r="B40" s="202" t="s">
        <v>29</v>
      </c>
      <c r="C40" s="202"/>
      <c r="D40" s="202"/>
      <c r="T40" s="203" t="s">
        <v>29</v>
      </c>
      <c r="U40" s="203"/>
      <c r="V40" s="203"/>
    </row>
    <row r="41" spans="1:22" s="6" customFormat="1" ht="36" x14ac:dyDescent="0.2">
      <c r="A41" s="144" t="s">
        <v>1</v>
      </c>
      <c r="B41" s="144" t="s">
        <v>2</v>
      </c>
      <c r="C41" s="144" t="s">
        <v>3</v>
      </c>
      <c r="D41" s="144" t="s">
        <v>4</v>
      </c>
      <c r="T41" s="8" t="s">
        <v>9</v>
      </c>
      <c r="U41" s="8" t="s">
        <v>10</v>
      </c>
      <c r="V41" s="8" t="s">
        <v>11</v>
      </c>
    </row>
    <row r="42" spans="1:22" s="6" customFormat="1" ht="12" x14ac:dyDescent="0.2">
      <c r="A42" s="9">
        <v>41548</v>
      </c>
      <c r="B42" s="86">
        <f t="shared" ref="B42:D54" si="2">B9/B25</f>
        <v>112.23421908818668</v>
      </c>
      <c r="C42" s="86">
        <f t="shared" si="2"/>
        <v>71.60774830387561</v>
      </c>
      <c r="D42" s="86">
        <f t="shared" si="2"/>
        <v>99.678723987025919</v>
      </c>
      <c r="T42" s="38">
        <f>(B42-'FY2013'!B42)/'FY2013'!B42</f>
        <v>3.2138448656191171E-2</v>
      </c>
      <c r="U42" s="38">
        <f>(C42-'FY2013'!C42)/'FY2013'!C42</f>
        <v>1.0682931854252842E-3</v>
      </c>
      <c r="V42" s="38">
        <f>(D42-'FY2013'!D42)/'FY2013'!D42</f>
        <v>3.3586694970957266E-2</v>
      </c>
    </row>
    <row r="43" spans="1:22" s="6" customFormat="1" ht="12" x14ac:dyDescent="0.2">
      <c r="A43" s="9">
        <v>41579</v>
      </c>
      <c r="B43" s="86">
        <f t="shared" si="2"/>
        <v>111.39053428702444</v>
      </c>
      <c r="C43" s="86">
        <f t="shared" si="2"/>
        <v>74.600119805463422</v>
      </c>
      <c r="D43" s="86">
        <f t="shared" si="2"/>
        <v>98.747782089546575</v>
      </c>
      <c r="T43" s="38">
        <f>(B43-'FY2013'!B43)/'FY2013'!B43</f>
        <v>1.4905352508681132E-2</v>
      </c>
      <c r="U43" s="38">
        <f>(C43-'FY2013'!C43)/'FY2013'!C43</f>
        <v>6.0514347363244507E-3</v>
      </c>
      <c r="V43" s="38">
        <f>(D43-'FY2013'!D43)/'FY2013'!D43</f>
        <v>1.3349985901720426E-2</v>
      </c>
    </row>
    <row r="44" spans="1:22" s="6" customFormat="1" ht="12" x14ac:dyDescent="0.2">
      <c r="A44" s="9">
        <v>41609</v>
      </c>
      <c r="B44" s="86">
        <f t="shared" si="2"/>
        <v>111.85412681270316</v>
      </c>
      <c r="C44" s="86">
        <f t="shared" si="2"/>
        <v>74.017556772743347</v>
      </c>
      <c r="D44" s="86">
        <f t="shared" si="2"/>
        <v>99.272471604343238</v>
      </c>
      <c r="T44" s="38">
        <f>(B44-'FY2013'!B44)/'FY2013'!B44</f>
        <v>-8.7220213941123451E-3</v>
      </c>
      <c r="U44" s="38">
        <f>(C44-'FY2013'!C44)/'FY2013'!C44</f>
        <v>-4.1932382185306212E-2</v>
      </c>
      <c r="V44" s="38">
        <f>(D44-'FY2013'!D44)/'FY2013'!D44</f>
        <v>-1.1643990661925136E-2</v>
      </c>
    </row>
    <row r="45" spans="1:22" s="6" customFormat="1" ht="12" x14ac:dyDescent="0.2">
      <c r="A45" s="9">
        <v>41640</v>
      </c>
      <c r="B45" s="86">
        <f t="shared" si="2"/>
        <v>104.57913072601082</v>
      </c>
      <c r="C45" s="86">
        <f t="shared" si="2"/>
        <v>72.293042686077513</v>
      </c>
      <c r="D45" s="86">
        <f t="shared" si="2"/>
        <v>94.173094599776164</v>
      </c>
      <c r="T45" s="38">
        <f>(B45-'FY2013'!B45)/'FY2013'!B45</f>
        <v>-3.2845721019961083E-2</v>
      </c>
      <c r="U45" s="38">
        <f>(C45-'FY2013'!C45)/'FY2013'!C45</f>
        <v>1.678410980997248E-2</v>
      </c>
      <c r="V45" s="38">
        <f>(D45-'FY2013'!D45)/'FY2013'!D45</f>
        <v>-1.9525655840313343E-2</v>
      </c>
    </row>
    <row r="46" spans="1:22" s="6" customFormat="1" ht="12" x14ac:dyDescent="0.2">
      <c r="A46" s="9">
        <v>41671</v>
      </c>
      <c r="B46" s="86">
        <f t="shared" si="2"/>
        <v>103.83446638347225</v>
      </c>
      <c r="C46" s="86">
        <f t="shared" si="2"/>
        <v>73.553813085349418</v>
      </c>
      <c r="D46" s="86">
        <f t="shared" si="2"/>
        <v>94.055102208685113</v>
      </c>
      <c r="T46" s="38">
        <f>(B46-'FY2013'!B46)/'FY2013'!B46</f>
        <v>-1.6744660690732258E-3</v>
      </c>
      <c r="U46" s="38">
        <f>(C46-'FY2013'!C46)/'FY2013'!C46</f>
        <v>-4.9969142699454565E-3</v>
      </c>
      <c r="V46" s="38">
        <f>(D46-'FY2013'!D46)/'FY2013'!D46</f>
        <v>4.9317403758586365E-4</v>
      </c>
    </row>
    <row r="47" spans="1:22" s="6" customFormat="1" ht="12" x14ac:dyDescent="0.2">
      <c r="A47" s="9">
        <v>41699</v>
      </c>
      <c r="B47" s="86">
        <f t="shared" si="2"/>
        <v>101.75635327489542</v>
      </c>
      <c r="C47" s="86">
        <f t="shared" si="2"/>
        <v>72.021816832436855</v>
      </c>
      <c r="D47" s="86">
        <f t="shared" si="2"/>
        <v>92.325965709504658</v>
      </c>
      <c r="T47" s="38">
        <f>(B47-'FY2013'!B47)/'FY2013'!B47</f>
        <v>-1.9583470030394762E-2</v>
      </c>
      <c r="U47" s="38">
        <f>(C47-'FY2013'!C47)/'FY2013'!C47</f>
        <v>-1.9475012790703159E-2</v>
      </c>
      <c r="V47" s="38">
        <f>(D47-'FY2013'!D47)/'FY2013'!D47</f>
        <v>-1.6216145587500619E-2</v>
      </c>
    </row>
    <row r="48" spans="1:22" s="6" customFormat="1" ht="12" x14ac:dyDescent="0.2">
      <c r="A48" s="9">
        <v>41730</v>
      </c>
      <c r="B48" s="86">
        <f t="shared" si="2"/>
        <v>102.45078553850659</v>
      </c>
      <c r="C48" s="86">
        <f t="shared" si="2"/>
        <v>69.869066456700111</v>
      </c>
      <c r="D48" s="86">
        <f t="shared" si="2"/>
        <v>92.508013945445171</v>
      </c>
      <c r="T48" s="38">
        <f>(B48-'FY2013'!B48)/'FY2013'!B48</f>
        <v>6.6593122424569249E-3</v>
      </c>
      <c r="U48" s="38">
        <f>(C48-'FY2013'!C48)/'FY2013'!C48</f>
        <v>-1.3692113360431637E-3</v>
      </c>
      <c r="V48" s="38">
        <f>(D48-'FY2013'!D48)/'FY2013'!D48</f>
        <v>9.2432065586290652E-3</v>
      </c>
    </row>
    <row r="49" spans="1:22" s="6" customFormat="1" ht="12" x14ac:dyDescent="0.2">
      <c r="A49" s="9">
        <v>41760</v>
      </c>
      <c r="B49" s="86">
        <f t="shared" si="2"/>
        <v>104.86605203808195</v>
      </c>
      <c r="C49" s="86">
        <f t="shared" si="2"/>
        <v>70.356567823138747</v>
      </c>
      <c r="D49" s="86">
        <f t="shared" si="2"/>
        <v>94.311197961618404</v>
      </c>
      <c r="T49" s="38">
        <f>(B49-'FY2013'!B49)/'FY2013'!B49</f>
        <v>-2.3897215085912235E-2</v>
      </c>
      <c r="U49" s="38">
        <f>(C49-'FY2013'!C49)/'FY2013'!C49</f>
        <v>3.115067713414332E-3</v>
      </c>
      <c r="V49" s="38">
        <f>(D49-'FY2013'!D49)/'FY2013'!D49</f>
        <v>-1.4394586554411374E-2</v>
      </c>
    </row>
    <row r="50" spans="1:22" s="6" customFormat="1" ht="12" x14ac:dyDescent="0.2">
      <c r="A50" s="9">
        <v>41791</v>
      </c>
      <c r="B50" s="86">
        <f t="shared" si="2"/>
        <v>103.99235626087902</v>
      </c>
      <c r="C50" s="86">
        <f t="shared" si="2"/>
        <v>69.691644298661885</v>
      </c>
      <c r="D50" s="86">
        <f t="shared" si="2"/>
        <v>93.760396869495622</v>
      </c>
      <c r="T50" s="38">
        <f>(B50-'FY2013'!B50)/'FY2013'!B50</f>
        <v>-1.2154926563130839E-2</v>
      </c>
      <c r="U50" s="38">
        <f>(C50-'FY2013'!C50)/'FY2013'!C50</f>
        <v>-2.8601217382366879E-2</v>
      </c>
      <c r="V50" s="38">
        <f>(D50-'FY2013'!D50)/'FY2013'!D50</f>
        <v>-1.2891922944982724E-2</v>
      </c>
    </row>
    <row r="51" spans="1:22" s="6" customFormat="1" ht="12" x14ac:dyDescent="0.2">
      <c r="A51" s="9">
        <v>41821</v>
      </c>
      <c r="B51" s="86">
        <f t="shared" si="2"/>
        <v>103.50197506827934</v>
      </c>
      <c r="C51" s="86">
        <f t="shared" si="2"/>
        <v>69.640189715378696</v>
      </c>
      <c r="D51" s="86">
        <f t="shared" si="2"/>
        <v>93.914935026861826</v>
      </c>
      <c r="T51" s="38">
        <f>(B51-'FY2013'!B51)/'FY2013'!B51</f>
        <v>-3.5707096379061207E-2</v>
      </c>
      <c r="U51" s="38">
        <f>(C51-'FY2013'!C51)/'FY2013'!C51</f>
        <v>-4.6416369040121412E-2</v>
      </c>
      <c r="V51" s="38">
        <f>(D51-'FY2013'!D51)/'FY2013'!D51</f>
        <v>-3.7505208781827358E-2</v>
      </c>
    </row>
    <row r="52" spans="1:22" s="6" customFormat="1" ht="12" x14ac:dyDescent="0.2">
      <c r="A52" s="9">
        <v>41852</v>
      </c>
      <c r="B52" s="86">
        <f t="shared" si="2"/>
        <v>108.77887182144079</v>
      </c>
      <c r="C52" s="86">
        <f t="shared" si="2"/>
        <v>72.981387964572079</v>
      </c>
      <c r="D52" s="86">
        <f t="shared" si="2"/>
        <v>97.950370598329357</v>
      </c>
      <c r="T52" s="38">
        <f>(B52-'FY2013'!B52)/'FY2013'!B52</f>
        <v>-3.8805023533027452E-3</v>
      </c>
      <c r="U52" s="38">
        <f>(C52-'FY2013'!C52)/'FY2013'!C52</f>
        <v>-2.0739068189408037E-2</v>
      </c>
      <c r="V52" s="38">
        <f>(D52-'FY2013'!D52)/'FY2013'!D52</f>
        <v>-6.7493774731460657E-3</v>
      </c>
    </row>
    <row r="53" spans="1:22" s="6" customFormat="1" ht="12" x14ac:dyDescent="0.2">
      <c r="A53" s="9">
        <v>41883</v>
      </c>
      <c r="B53" s="86">
        <f t="shared" si="2"/>
        <v>105.25311042622415</v>
      </c>
      <c r="C53" s="86">
        <f t="shared" si="2"/>
        <v>69.551011104647444</v>
      </c>
      <c r="D53" s="86">
        <f t="shared" si="2"/>
        <v>94.401072740942595</v>
      </c>
      <c r="T53" s="38">
        <f>(B53-'FY2013'!B53)/'FY2013'!B53</f>
        <v>-4.7602937884272424E-2</v>
      </c>
      <c r="U53" s="38">
        <f>(C53-'FY2013'!C53)/'FY2013'!C53</f>
        <v>-3.2108713307700196E-2</v>
      </c>
      <c r="V53" s="38">
        <f>(D53-'FY2013'!D53)/'FY2013'!D53</f>
        <v>-3.670760351888451E-2</v>
      </c>
    </row>
    <row r="54" spans="1:22" s="6" customFormat="1" ht="12" x14ac:dyDescent="0.2">
      <c r="A54" s="108" t="s">
        <v>119</v>
      </c>
      <c r="B54" s="87">
        <f t="shared" si="2"/>
        <v>106.02312786603341</v>
      </c>
      <c r="C54" s="87">
        <f t="shared" si="2"/>
        <v>71.681823358761392</v>
      </c>
      <c r="D54" s="87">
        <f t="shared" si="2"/>
        <v>95.329315664408597</v>
      </c>
      <c r="T54" s="39">
        <f>AVERAGE(T42:T53)</f>
        <v>-1.1030436947657636E-2</v>
      </c>
      <c r="U54" s="39">
        <f>AVERAGE(U42:U53)</f>
        <v>-1.4051665254704832E-2</v>
      </c>
      <c r="V54" s="39">
        <f>AVERAGE(V42:V53)</f>
        <v>-8.2467858245082095E-3</v>
      </c>
    </row>
    <row r="55" spans="1:22" s="6" customFormat="1" ht="12" x14ac:dyDescent="0.2">
      <c r="A55" s="17"/>
      <c r="B55" s="84"/>
      <c r="C55" s="84"/>
      <c r="D55" s="84"/>
      <c r="T55" s="18"/>
      <c r="U55" s="18"/>
      <c r="V55" s="18"/>
    </row>
    <row r="56" spans="1:22" s="5" customFormat="1" ht="13.5" customHeight="1" x14ac:dyDescent="0.2"/>
    <row r="57" spans="1:22" s="5" customFormat="1" x14ac:dyDescent="0.2">
      <c r="B57" s="202" t="s">
        <v>7</v>
      </c>
      <c r="C57" s="202"/>
      <c r="D57" s="202"/>
      <c r="T57" s="203" t="s">
        <v>7</v>
      </c>
      <c r="U57" s="203"/>
      <c r="V57" s="203"/>
    </row>
    <row r="58" spans="1:22" s="5" customFormat="1" ht="36" x14ac:dyDescent="0.2">
      <c r="A58" s="144" t="s">
        <v>1</v>
      </c>
      <c r="B58" s="144" t="s">
        <v>2</v>
      </c>
      <c r="C58" s="144" t="s">
        <v>3</v>
      </c>
      <c r="D58" s="144" t="s">
        <v>4</v>
      </c>
      <c r="T58" s="8" t="s">
        <v>9</v>
      </c>
      <c r="U58" s="8" t="s">
        <v>10</v>
      </c>
      <c r="V58" s="8" t="s">
        <v>11</v>
      </c>
    </row>
    <row r="59" spans="1:22" s="5" customFormat="1" ht="12" x14ac:dyDescent="0.2">
      <c r="A59" s="9">
        <v>41548</v>
      </c>
      <c r="B59" s="43">
        <f>7517901+2995633+370225+83385.04+94061.52+99966.96+47148.19</f>
        <v>11208320.709999999</v>
      </c>
      <c r="C59" s="41">
        <f>12644.96+0.31+39558.6+4470.95+6056.06+15608.52+46503.93+125.68+109.14+2075.54+9084.89+141.8+423373.95+432.5+2619.89+9364.18+30.98+539.97+17089.38+25138.99+486.76+18894.35+9.24+8368.03+80224.74</f>
        <v>722953.34</v>
      </c>
      <c r="D59" s="41">
        <f>SUM(B59:C59)</f>
        <v>11931274.049999999</v>
      </c>
      <c r="T59" s="38">
        <f>(B59-'FY2013'!B59)/'FY2013'!B59</f>
        <v>0.1314377898100195</v>
      </c>
      <c r="U59" s="38">
        <f>(C59-'FY2013'!C59)/'FY2013'!C59</f>
        <v>-8.1453114004399974E-2</v>
      </c>
      <c r="V59" s="38">
        <f>(D59-'FY2013'!D59)/'FY2013'!D59</f>
        <v>0.11576835742285561</v>
      </c>
    </row>
    <row r="60" spans="1:22" s="5" customFormat="1" ht="12" x14ac:dyDescent="0.2">
      <c r="A60" s="9">
        <v>41579</v>
      </c>
      <c r="B60" s="43">
        <f>7553164+377379+2802709+50769.13+107595.05+103350.41+91632.45</f>
        <v>11086599.040000001</v>
      </c>
      <c r="C60" s="41">
        <f>13157.91+1.85+45964.6+5405.68+7026.34+18607.13+52712.21+134.37+120.93+2498.5+10776.02+91.67+498541.22+518+3118.69+10808.47+29.42+555.12+20464.75+560.35+8.8+22233.38+11.36+10174.93+93975.36</f>
        <v>817497.05999999994</v>
      </c>
      <c r="D60" s="41">
        <f>SUM(B60:C60)</f>
        <v>11904096.100000001</v>
      </c>
      <c r="T60" s="38">
        <f>(B60-'FY2013'!B60)/'FY2013'!B60</f>
        <v>7.2634556393609648E-2</v>
      </c>
      <c r="U60" s="38">
        <f>(C60-'FY2013'!C60)/'FY2013'!C60</f>
        <v>4.8098052286874434E-3</v>
      </c>
      <c r="V60" s="38">
        <f>(D60-'FY2013'!D60)/'FY2013'!D60</f>
        <v>6.7685329146710965E-2</v>
      </c>
    </row>
    <row r="61" spans="1:22" s="5" customFormat="1" ht="12" x14ac:dyDescent="0.2">
      <c r="A61" s="9">
        <v>41609</v>
      </c>
      <c r="B61" s="43">
        <f>7363407+2753782+366203+53786.82+114035.46+112836.75+99963.69</f>
        <v>10864014.720000001</v>
      </c>
      <c r="C61" s="41">
        <f>11952.43+2.01+43395+0.14+4849.32+6823.08+17704.64+49938.23+141.27+152.52+2275.68+10979.02+24.05+465468.99+449.75+2969.26+10010.29+29.57+560.08+20016.22+27850.66+507.93+20861.33+7.72+9710.98+90349.44</f>
        <v>797029.60999999987</v>
      </c>
      <c r="D61" s="41">
        <f>SUM(B61:C61)</f>
        <v>11661044.33</v>
      </c>
      <c r="T61" s="38">
        <f>(B61-'FY2013'!B61)/'FY2013'!B61</f>
        <v>3.651270877873377E-2</v>
      </c>
      <c r="U61" s="38">
        <f>(C61-'FY2013'!C61)/'FY2013'!C61</f>
        <v>-6.5887516346898704E-3</v>
      </c>
      <c r="V61" s="38">
        <f>(D61-'FY2013'!D61)/'FY2013'!D61</f>
        <v>3.344800465195006E-2</v>
      </c>
    </row>
    <row r="62" spans="1:22" s="5" customFormat="1" ht="12" x14ac:dyDescent="0.2">
      <c r="A62" s="9">
        <v>41640</v>
      </c>
      <c r="B62" s="43">
        <f>7443482+2758479+368421+45449.88+96400.7+90052.92+79758.06</f>
        <v>10882043.560000001</v>
      </c>
      <c r="C62" s="43">
        <f>11007.24+0.87+0.54+41478.2+4628.99+6289.17+17277.13+49788.39+138.78+163.2+2290.56+12647.9+21.37+479704.61+439.75+2843.47+9925.64+28.64+525.77+19187.3+28487.86+545.56+58.85+18180.05+7.55+9249.47+90199.89</f>
        <v>805116.75000000012</v>
      </c>
      <c r="D62" s="41">
        <f>SUM(B62:C62)</f>
        <v>11687160.310000001</v>
      </c>
      <c r="T62" s="38">
        <f>(B62-'FY2013'!B62)/'FY2013'!B62</f>
        <v>-1.259202271824105E-2</v>
      </c>
      <c r="U62" s="38">
        <f>(C62-'FY2013'!C62)/'FY2013'!C62</f>
        <v>2.8653465432807661E-2</v>
      </c>
      <c r="V62" s="38">
        <f>(D62-'FY2013'!D62)/'FY2013'!D62</f>
        <v>-9.8570366359358869E-3</v>
      </c>
    </row>
    <row r="63" spans="1:22" s="5" customFormat="1" ht="12" x14ac:dyDescent="0.2">
      <c r="A63" s="9">
        <v>41671</v>
      </c>
      <c r="B63" s="43">
        <f>6988283+2554129+340942+43616.84+92483.41+83336.88+73788.87</f>
        <v>10176580</v>
      </c>
      <c r="C63" s="43">
        <f>39432.6+2276.68+4269.01+5999.8+17728.18+46450.65+155.5+170.67+2139.46+11909.09+17.71+461705.41+417+2676.73+9640.34+28.73+484.53+18973.11+27066.06+547.88+7903.19+6.43+8807.07+90088.38</f>
        <v>758894.21</v>
      </c>
      <c r="D63" s="41">
        <f>SUM(B63:C63)</f>
        <v>10935474.210000001</v>
      </c>
      <c r="T63" s="38">
        <f>(B63-'FY2013'!B63)/'FY2013'!B63</f>
        <v>1.596577286587833E-2</v>
      </c>
      <c r="U63" s="38">
        <f>(C63-'FY2013'!C63)/'FY2013'!C63</f>
        <v>-2.299146871546931E-2</v>
      </c>
      <c r="V63" s="38">
        <f>(D63-'FY2013'!D63)/'FY2013'!D63</f>
        <v>1.3162196192238577E-2</v>
      </c>
    </row>
    <row r="64" spans="1:22" s="5" customFormat="1" ht="12" x14ac:dyDescent="0.2">
      <c r="A64" s="9">
        <v>41699</v>
      </c>
      <c r="B64" s="43">
        <f>367865.72+2857395+49554.58+104811.21+96057.7+85025.44+7788549</f>
        <v>11349258.65</v>
      </c>
      <c r="C64" s="43">
        <f>10427.78+42245.4+2823.94+4555.29+6537.22+19079.51+50855.44+680.23+186.77+2275.3+13207.37+21.01+501700.77+457.5+2926.33+10323.28+18.52+335.87+20682.31+29432.09+581.93+7288.9+3.71+9583.03+99925.27</f>
        <v>836154.77000000014</v>
      </c>
      <c r="D64" s="41">
        <f t="shared" ref="D64:D70" si="3">SUM(B64:C64)</f>
        <v>12185413.42</v>
      </c>
      <c r="T64" s="38">
        <f>(B64-'FY2013'!B64)/'FY2013'!B64</f>
        <v>-1.530397658686543E-2</v>
      </c>
      <c r="U64" s="38">
        <f>(C64-'FY2013'!C64)/'FY2013'!C64</f>
        <v>-3.8500612267449962E-2</v>
      </c>
      <c r="V64" s="38">
        <f>(D64-'FY2013'!D64)/'FY2013'!D64</f>
        <v>-1.6931421166611844E-2</v>
      </c>
    </row>
    <row r="65" spans="1:22" s="5" customFormat="1" ht="12" x14ac:dyDescent="0.2">
      <c r="A65" s="9">
        <v>41730</v>
      </c>
      <c r="B65" s="43">
        <f>8124337+2954963+399592+53903.44+144294.3+102162.27+90423.33</f>
        <v>11869675.34</v>
      </c>
      <c r="C65" s="43">
        <f>10006.2+13.47+41443+2779.42+4410.29+6278.95+18618.58+50154.87+982.42+192.42+2197.42+13141.93+18.14+494313.95+469.5+2858.63+10426.7+33.72+521.72+20314.78+29261.4+577.83+1.45+7260.26+4.44+9471.96+98582.88</f>
        <v>824336.32999999984</v>
      </c>
      <c r="D65" s="41">
        <f t="shared" si="3"/>
        <v>12694011.67</v>
      </c>
      <c r="T65" s="38">
        <f>(B65-'FY2013'!B65)/'FY2013'!B65</f>
        <v>3.6116411384808624E-2</v>
      </c>
      <c r="U65" s="38">
        <f>(C65-'FY2013'!C65)/'FY2013'!C65</f>
        <v>2.6057130205230337E-2</v>
      </c>
      <c r="V65" s="38">
        <f>(D65-'FY2013'!D65)/'FY2013'!D65</f>
        <v>3.5457187249453515E-2</v>
      </c>
    </row>
    <row r="66" spans="1:22" s="5" customFormat="1" ht="12" x14ac:dyDescent="0.2">
      <c r="A66" s="9">
        <v>41760</v>
      </c>
      <c r="B66" s="101">
        <f>8758522+434127+3169118+71801.86+152233.22+138458.82+122652.68</f>
        <v>12846913.58</v>
      </c>
      <c r="C66" s="43">
        <f>10052.11+23.08+42830.2+2927.12+4686.74+6630.72+19103.82+53286.72+1258.14+245.47+2260.26+14020.25+20.41+524241.22+461+2945.42+10410.14+31.89+531.61+21310.03+30912.6+633.2+7574.07+3.39+9964.54+102838.94</f>
        <v>869203.09000000008</v>
      </c>
      <c r="D66" s="41">
        <f t="shared" si="3"/>
        <v>13716116.67</v>
      </c>
      <c r="T66" s="38">
        <f>(B66-'FY2013'!B66)/'FY2013'!B66</f>
        <v>3.2854453700856025E-2</v>
      </c>
      <c r="U66" s="38">
        <f>(C66-'FY2013'!C66)/'FY2013'!C66</f>
        <v>1.6486782422966306E-4</v>
      </c>
      <c r="V66" s="38">
        <f>(D66-'FY2013'!D66)/'FY2013'!D66</f>
        <v>3.0719598379030821E-2</v>
      </c>
    </row>
    <row r="67" spans="1:22" s="5" customFormat="1" ht="12" x14ac:dyDescent="0.2">
      <c r="A67" s="9">
        <v>41791</v>
      </c>
      <c r="B67" s="43">
        <f>8566537+2991761+426108+72906.98+154668.55+143416.39+127168.44</f>
        <v>12482566.360000001</v>
      </c>
      <c r="C67" s="43">
        <f>8789.99+21.16+38355.6+2577.96+4352.69+6075.3+17463.58+48517.09+1249.43+221.38+2053.6+13804.92+33.45+468655.1+429.5+2707.93+9054.4+34.8+497.91+19660.64+28114.81+555.16+0.52+7080.48+0.25+4.85+9180.63+94809.46</f>
        <v>784302.5900000002</v>
      </c>
      <c r="D67" s="41">
        <f t="shared" si="3"/>
        <v>13266868.950000001</v>
      </c>
      <c r="T67" s="38">
        <f>(B67-'FY2013'!B67)/'FY2013'!B67</f>
        <v>2.758372896228516E-2</v>
      </c>
      <c r="U67" s="38">
        <f>(C67-'FY2013'!C67)/'FY2013'!C67</f>
        <v>-2.7072212426885071E-2</v>
      </c>
      <c r="V67" s="38">
        <f>(D67-'FY2013'!D67)/'FY2013'!D67</f>
        <v>2.41823949033254E-2</v>
      </c>
    </row>
    <row r="68" spans="1:22" s="5" customFormat="1" ht="12" x14ac:dyDescent="0.2">
      <c r="A68" s="9">
        <v>41821</v>
      </c>
      <c r="B68" s="43">
        <f>9161249.12+3241071.05+442034.98</f>
        <v>12844355.149999999</v>
      </c>
      <c r="C68" s="43">
        <f>21132.59+22.02+0.13+47383.8+2657.34+4546.77+2869.16+18155.7+43405.89+1503.19+276.92+211.54+12125.46+61.67+486266.64+455+2810.16+9441.82+33.6+568.76+20154.54+29564.41+598.55+0.77+7233.18+4.73+9560+88641.9</f>
        <v>809686.24000000022</v>
      </c>
      <c r="D68" s="41">
        <f t="shared" si="3"/>
        <v>13654041.389999999</v>
      </c>
      <c r="T68" s="38">
        <f>(B68-'FY2013'!B68)/'FY2013'!B68</f>
        <v>5.6776814458861985E-2</v>
      </c>
      <c r="U68" s="38">
        <f>(C68-'FY2013'!C68)/'FY2013'!C68</f>
        <v>0.1217561549674072</v>
      </c>
      <c r="V68" s="38">
        <f>(D68-'FY2013'!D68)/'FY2013'!D68</f>
        <v>6.0419402415263813E-2</v>
      </c>
    </row>
    <row r="69" spans="1:22" s="5" customFormat="1" ht="12" x14ac:dyDescent="0.2">
      <c r="A69" s="9">
        <v>41852</v>
      </c>
      <c r="B69" s="43">
        <f>9479488+501241+3271464+720803.52+154398.08+139952.58+124039.69</f>
        <v>14391386.869999999</v>
      </c>
      <c r="C69" s="43">
        <f>21132.59+22.02+0.13+47383.8+2657.34+4546.77+2869.16+18155.7+43405.89+1503.19+276.92+2111.54+12125.46+61.67+486266.64+455+2810.16+9441.82+33.6+568.76+20154.54+29564.41+598.55+0.77+7233.18+4.73+9560+88641.9</f>
        <v>811586.24000000022</v>
      </c>
      <c r="D69" s="41">
        <f t="shared" si="3"/>
        <v>15202973.109999999</v>
      </c>
      <c r="T69" s="38">
        <f>(B69-'FY2013'!B69)/'FY2013'!B69</f>
        <v>0.19617918687808258</v>
      </c>
      <c r="U69" s="38">
        <f>(C69-'FY2013'!C69)/'FY2013'!C69</f>
        <v>-5.799377374366481E-3</v>
      </c>
      <c r="V69" s="38">
        <f>(D69-'FY2013'!D69)/'FY2013'!D69</f>
        <v>0.18334557242874117</v>
      </c>
    </row>
    <row r="70" spans="1:22" s="5" customFormat="1" ht="12" x14ac:dyDescent="0.2">
      <c r="A70" s="9">
        <v>41883</v>
      </c>
      <c r="B70" s="43">
        <f>49010.22+103921.34+92147.94+81626.89+373499+8390568+2813217.17</f>
        <v>11903990.560000001</v>
      </c>
      <c r="C70" s="43">
        <f>11679.38+24.31+798.15+50309.4+2573.06+4415.95+17257.57+37136+1520.83+330.95+1906.5+13099.12+94.69+476281.74+419.75+2635.56+8733.03+29.78+491.42+19357.97+28902.54+562.6+6159.94+5.63+8828.42+90857.9</f>
        <v>784412.19000000018</v>
      </c>
      <c r="D70" s="41">
        <f t="shared" si="3"/>
        <v>12688402.75</v>
      </c>
      <c r="T70" s="38">
        <f>(B70-'FY2013'!B70)/'FY2013'!B70</f>
        <v>3.7035812886737726E-2</v>
      </c>
      <c r="U70" s="38">
        <f>(C70-'FY2013'!C70)/'FY2013'!C70</f>
        <v>8.2753388001213755E-3</v>
      </c>
      <c r="V70" s="38">
        <f>(D70-'FY2013'!D70)/'FY2013'!D70</f>
        <v>3.5210308577700522E-2</v>
      </c>
    </row>
    <row r="71" spans="1:22" s="6" customFormat="1" ht="12" x14ac:dyDescent="0.2">
      <c r="A71" s="108" t="s">
        <v>119</v>
      </c>
      <c r="B71" s="42">
        <f>SUM(B59:B70)</f>
        <v>141905704.53999999</v>
      </c>
      <c r="C71" s="42">
        <f>SUM(C59:C70)</f>
        <v>9621172.4199999999</v>
      </c>
      <c r="D71" s="42">
        <f>SUM(D59:D70)</f>
        <v>151526876.96000001</v>
      </c>
      <c r="T71" s="39">
        <f>AVERAGE(T59:T70)</f>
        <v>5.1266769734563906E-2</v>
      </c>
      <c r="U71" s="39">
        <f>AVERAGE(U59:U70)</f>
        <v>6.0926883626858579E-4</v>
      </c>
      <c r="V71" s="39">
        <f>AVERAGE(V59:V70)</f>
        <v>4.7717491130393565E-2</v>
      </c>
    </row>
    <row r="72" spans="1:22" s="6" customFormat="1" ht="12" x14ac:dyDescent="0.2">
      <c r="A72" s="80"/>
      <c r="B72" s="76"/>
      <c r="C72" s="76"/>
      <c r="D72" s="76"/>
      <c r="T72" s="51"/>
      <c r="U72" s="51"/>
      <c r="V72" s="51"/>
    </row>
    <row r="73" spans="1:22" s="6" customFormat="1" ht="12" x14ac:dyDescent="0.2">
      <c r="A73" s="17"/>
      <c r="B73" s="17"/>
      <c r="C73" s="17"/>
      <c r="D73" s="17"/>
      <c r="T73" s="18"/>
      <c r="U73" s="18"/>
      <c r="V73" s="18"/>
    </row>
    <row r="74" spans="1:22" s="5" customFormat="1" x14ac:dyDescent="0.2">
      <c r="A74" s="19"/>
      <c r="B74" s="208" t="s">
        <v>20</v>
      </c>
      <c r="C74" s="208"/>
      <c r="D74" s="208"/>
      <c r="E74" s="19"/>
      <c r="T74" s="209" t="s">
        <v>20</v>
      </c>
      <c r="U74" s="209"/>
      <c r="V74" s="209"/>
    </row>
    <row r="75" spans="1:22" s="5" customFormat="1" ht="36" x14ac:dyDescent="0.2">
      <c r="A75" s="143" t="s">
        <v>1</v>
      </c>
      <c r="B75" s="143" t="s">
        <v>2</v>
      </c>
      <c r="C75" s="100" t="s">
        <v>3</v>
      </c>
      <c r="D75" s="148" t="s">
        <v>4</v>
      </c>
      <c r="E75" s="19"/>
      <c r="T75" s="8" t="s">
        <v>9</v>
      </c>
      <c r="U75" s="8" t="s">
        <v>10</v>
      </c>
      <c r="V75" s="54"/>
    </row>
    <row r="76" spans="1:22" s="5" customFormat="1" ht="12" x14ac:dyDescent="0.2">
      <c r="A76" s="9">
        <v>41548</v>
      </c>
      <c r="B76" s="43">
        <f>38829+442376.75+665348.22+15.69+3987.95+112.65+8.42+753.08+7911.16+43.57+119.01+207.32+454.7-47148.19-99966.96-94061.52-83385.04</f>
        <v>835605.80999999982</v>
      </c>
      <c r="C76" s="43">
        <f>806601.6-C59</f>
        <v>83648.260000000009</v>
      </c>
      <c r="D76" s="43">
        <f>B76+C76</f>
        <v>919254.06999999983</v>
      </c>
      <c r="E76" s="19"/>
      <c r="T76" s="38">
        <f>(B76-'FY2013'!B76)/'FY2013'!B76</f>
        <v>8.7736378520813351E-3</v>
      </c>
      <c r="U76" s="38">
        <f>(C76-'FY2013'!C76)/'FY2013'!C76</f>
        <v>-0.22466878116045988</v>
      </c>
      <c r="V76" s="26"/>
    </row>
    <row r="77" spans="1:22" s="5" customFormat="1" ht="12" x14ac:dyDescent="0.2">
      <c r="A77" s="9">
        <v>41579</v>
      </c>
      <c r="B77" s="43">
        <f>37499+468656.56+293.2+213.49+235.68+41.48+8170.36+934.91+8.41+101.43+3635.84+10.28-50769.13-107595.05-103350.41-91632.45+677323.65</f>
        <v>843777.25</v>
      </c>
      <c r="C77" s="43">
        <f>944455.65-C60</f>
        <v>126958.59000000008</v>
      </c>
      <c r="D77" s="43">
        <f t="shared" ref="D77:D87" si="4">B77+C77</f>
        <v>970735.84000000008</v>
      </c>
      <c r="E77" s="19"/>
      <c r="T77" s="38">
        <f>(B77-'FY2013'!B77)/'FY2013'!B77</f>
        <v>6.9765446651097102E-2</v>
      </c>
      <c r="U77" s="38">
        <f>(C77-'FY2013'!C77)/'FY2013'!C77</f>
        <v>0.15788338463578766</v>
      </c>
      <c r="V77" s="26"/>
    </row>
    <row r="78" spans="1:22" s="5" customFormat="1" ht="12" x14ac:dyDescent="0.2">
      <c r="A78" s="9">
        <v>41609</v>
      </c>
      <c r="B78" s="43">
        <f>37756+497410.36+661484.01+7.7+2450.37+90.24+9.97+880.55+7815.77+49.3+269.03+341.15+355.4-53786.82-114035.46-112836.75-99963.69</f>
        <v>828297.13000000012</v>
      </c>
      <c r="C78" s="43">
        <f>891131.03-C61</f>
        <v>94101.420000000158</v>
      </c>
      <c r="D78" s="43">
        <f t="shared" si="4"/>
        <v>922398.55000000028</v>
      </c>
      <c r="E78" s="19"/>
      <c r="T78" s="38">
        <f>(B78-'FY2013'!B78)/'FY2013'!B78</f>
        <v>3.7506068266633184E-2</v>
      </c>
      <c r="U78" s="38">
        <f>(C78-'FY2013'!C78)/'FY2013'!C78</f>
        <v>-0.13233442959364258</v>
      </c>
      <c r="V78" s="26"/>
    </row>
    <row r="79" spans="1:22" s="5" customFormat="1" ht="12" x14ac:dyDescent="0.2">
      <c r="A79" s="9">
        <v>41640</v>
      </c>
      <c r="B79" s="43">
        <f>38922+439475.25+671862.14+8.35+2166.01+119.62+7.82+1001.62+7300.92+46.33+309.48-45449.88-96400.7-90052.92-79758.06</f>
        <v>849557.98000000068</v>
      </c>
      <c r="C79" s="43">
        <f>900320.66-C62</f>
        <v>95203.909999999916</v>
      </c>
      <c r="D79" s="43">
        <f t="shared" si="4"/>
        <v>944761.8900000006</v>
      </c>
      <c r="E79" s="19"/>
      <c r="T79" s="38">
        <f>(B79-'FY2013'!B79)/'FY2013'!B79</f>
        <v>2.7690864491653498E-2</v>
      </c>
      <c r="U79" s="38">
        <f>(C79-'FY2013'!C79)/'FY2013'!C79</f>
        <v>-0.10363629088255893</v>
      </c>
      <c r="V79" s="26"/>
    </row>
    <row r="80" spans="1:22" s="5" customFormat="1" ht="12" x14ac:dyDescent="0.2">
      <c r="A80" s="9">
        <v>41671</v>
      </c>
      <c r="B80" s="43">
        <f>37066+413450.31+6.81+2093.29+105.42+7.65+951.4+7973.47+46.29+325.33+337.97+84.2+642617.29-43616.84-92483.41-83336.88-73788.87</f>
        <v>811839.42999999982</v>
      </c>
      <c r="C80" s="101">
        <f>859819.02-C63</f>
        <v>100924.81000000006</v>
      </c>
      <c r="D80" s="43">
        <f t="shared" si="4"/>
        <v>912764.23999999987</v>
      </c>
      <c r="E80" s="19"/>
      <c r="T80" s="38">
        <f>(B80-'FY2013'!B80)/'FY2013'!B80</f>
        <v>4.2577929332496683E-2</v>
      </c>
      <c r="U80" s="38">
        <f>(C80-'FY2013'!C80)/'FY2013'!C80</f>
        <v>-5.0986721781787391E-2</v>
      </c>
      <c r="V80" s="26"/>
    </row>
    <row r="81" spans="1:22" s="5" customFormat="1" ht="12" x14ac:dyDescent="0.2">
      <c r="A81" s="9">
        <v>41699</v>
      </c>
      <c r="B81" s="43">
        <f>39915.45+471550.2+10.37+2612.25+139.39+7.84+1150.01+10475.9+52.53+377.33+440.67+76.7+715894.6-49554.58-104811.21-96057.7-85025.44</f>
        <v>907254.31</v>
      </c>
      <c r="C81" s="101">
        <f>935592.69-C64</f>
        <v>99437.919999999809</v>
      </c>
      <c r="D81" s="43">
        <f t="shared" si="4"/>
        <v>1006692.2299999999</v>
      </c>
      <c r="E81" s="19"/>
      <c r="T81" s="38">
        <f>(B81-'FY2013'!B81)/'FY2013'!B81</f>
        <v>2.6198517259055764E-2</v>
      </c>
      <c r="U81" s="38">
        <f>(C81-'FY2013'!C81)/'FY2013'!C81</f>
        <v>-0.15700364138978501</v>
      </c>
      <c r="V81" s="26"/>
    </row>
    <row r="82" spans="1:22" s="5" customFormat="1" ht="12" x14ac:dyDescent="0.2">
      <c r="A82" s="9">
        <v>41730</v>
      </c>
      <c r="B82" s="43">
        <f>47302+498774.8+728710.96+12.27+2817.86+154.67+9.22+1264.16+10763.11+60.45+403.11+449.76+133.8-53903.44-114294.3-102162.27-90423.33</f>
        <v>930072.83000000019</v>
      </c>
      <c r="C82" s="101">
        <f>924300.47-C65</f>
        <v>99964.14000000013</v>
      </c>
      <c r="D82" s="43">
        <f t="shared" si="4"/>
        <v>1030036.9700000003</v>
      </c>
      <c r="E82" s="19"/>
      <c r="T82" s="38">
        <f>(B82-'FY2013'!B82)/'FY2013'!B82</f>
        <v>0.10553590483987838</v>
      </c>
      <c r="U82" s="38">
        <f>(C82-'FY2013'!C82)/'FY2013'!C82</f>
        <v>-2.3159712928730557E-2</v>
      </c>
      <c r="V82" s="26"/>
    </row>
    <row r="83" spans="1:22" s="5" customFormat="1" ht="12" x14ac:dyDescent="0.2">
      <c r="A83" s="9">
        <v>41760</v>
      </c>
      <c r="B83" s="43">
        <f>51353+659830.5+154.5+409.11+364.68+16.04+2977.49+154.78+9.08+1100.15+10416.18+58.31-71801.86-152233.22-138458.82-122652.68+779737.15</f>
        <v>1021434.3900000002</v>
      </c>
      <c r="C83" s="101">
        <f>972916.21-C66</f>
        <v>103713.11999999988</v>
      </c>
      <c r="D83" s="43">
        <f t="shared" si="4"/>
        <v>1125147.5100000002</v>
      </c>
      <c r="E83" s="19"/>
      <c r="T83" s="38">
        <f>(B83-'FY2013'!B83)/'FY2013'!B83</f>
        <v>0.12878947030259755</v>
      </c>
      <c r="U83" s="38">
        <f>(C83-'FY2013'!C83)/'FY2013'!C83</f>
        <v>-5.8251362230071248E-2</v>
      </c>
      <c r="V83" s="26"/>
    </row>
    <row r="84" spans="1:22" s="5" customFormat="1" ht="12" x14ac:dyDescent="0.2">
      <c r="A84" s="9">
        <v>41791</v>
      </c>
      <c r="B84" s="43">
        <f>47020+642568.7+757140.84+21.56+3287.14+175.85+8.13+1122.02+10568.87+58.32+344.58+323.51+150.4-72906.98-154668.55-143416.39-127168.44</f>
        <v>964629.56</v>
      </c>
      <c r="C84" s="101">
        <f>880296.46-C67</f>
        <v>95993.869999999763</v>
      </c>
      <c r="D84" s="43">
        <f t="shared" si="4"/>
        <v>1060623.4299999997</v>
      </c>
      <c r="E84" s="19"/>
      <c r="T84" s="38">
        <f>(B84-'FY2013'!B84)/'FY2013'!B84</f>
        <v>3.2864702735582466E-2</v>
      </c>
      <c r="U84" s="38">
        <f>(C84-'FY2013'!C84)/'FY2013'!C84</f>
        <v>-1.5701486672775204E-2</v>
      </c>
      <c r="V84" s="26"/>
    </row>
    <row r="85" spans="1:22" s="5" customFormat="1" ht="12" x14ac:dyDescent="0.2">
      <c r="A85" s="9">
        <v>41821</v>
      </c>
      <c r="B85" s="43">
        <f>49442.41+641959.92+211.9+329.14+365.06+65.3+10921.17+1258.87+9.79+193.15+27.89+3899.44+36.86-72803.52-154398.08-139952.58-124039.69+800632.43</f>
        <v>1018159.4600000004</v>
      </c>
      <c r="C85" s="101">
        <f>908742.6-C68</f>
        <v>99056.359999999753</v>
      </c>
      <c r="D85" s="43">
        <f t="shared" si="4"/>
        <v>1117215.8200000003</v>
      </c>
      <c r="E85" s="19"/>
      <c r="T85" s="38">
        <f>(B85-'FY2013'!B85)/'FY2013'!B85</f>
        <v>9.3687189636314172E-2</v>
      </c>
      <c r="U85" s="38">
        <f>(C85-'FY2013'!C85)/'FY2013'!C85</f>
        <v>0.13598462729022612</v>
      </c>
      <c r="V85" s="26"/>
    </row>
    <row r="86" spans="1:22" s="5" customFormat="1" ht="12" x14ac:dyDescent="0.2">
      <c r="A86" s="9">
        <v>41852</v>
      </c>
      <c r="B86" s="43">
        <f>51878+641959.92+800632.43+36.86+3899.44+27.89+193.15+9.79+1258.87+10921.17+65.3+365.06+329.14+211.9-72803.52-154398.08-139952.58-124039.69</f>
        <v>1020595.0499999998</v>
      </c>
      <c r="C86" s="101">
        <f>908742.6-C69</f>
        <v>97156.359999999753</v>
      </c>
      <c r="D86" s="43">
        <f t="shared" si="4"/>
        <v>1117751.4099999997</v>
      </c>
      <c r="E86" s="19"/>
      <c r="T86" s="38">
        <f>(B86-'FY2013'!B86)/'FY2013'!B86</f>
        <v>7.5774844397942534E-2</v>
      </c>
      <c r="U86" s="38">
        <f>(C86-'FY2013'!C86)/'FY2013'!C86</f>
        <v>-0.15385711389321879</v>
      </c>
      <c r="V86" s="26"/>
    </row>
    <row r="87" spans="1:22" s="5" customFormat="1" ht="12" x14ac:dyDescent="0.2">
      <c r="A87" s="9">
        <v>41883</v>
      </c>
      <c r="B87" s="43">
        <f>42199+477519.25+358.8+470.48+353.08+51.47+4757.05+246.74+11.46+1413.04+15669.87+73.67-49010.22-103921.34-92147.94-81626.89+743197.54-0.05</f>
        <v>959615.01</v>
      </c>
      <c r="C87" s="101">
        <f>880801.2-C70</f>
        <v>96389.009999999776</v>
      </c>
      <c r="D87" s="43">
        <f t="shared" si="4"/>
        <v>1056004.0199999998</v>
      </c>
      <c r="E87" s="19"/>
      <c r="T87" s="38">
        <f>(B87-'FY2013'!B87)/'FY2013'!B87</f>
        <v>9.7577079307294104E-2</v>
      </c>
      <c r="U87" s="38">
        <f>(C87-'FY2013'!C87)/'FY2013'!C87</f>
        <v>7.2835349636723876E-2</v>
      </c>
      <c r="V87" s="26"/>
    </row>
    <row r="88" spans="1:22" s="5" customFormat="1" ht="12" x14ac:dyDescent="0.2">
      <c r="A88" s="108" t="s">
        <v>119</v>
      </c>
      <c r="B88" s="45">
        <f>SUM(B76:B87)</f>
        <v>10990838.210000003</v>
      </c>
      <c r="C88" s="45">
        <f>SUM(C76:C87)</f>
        <v>1192547.7699999991</v>
      </c>
      <c r="D88" s="45">
        <f>SUM(D76:D87)</f>
        <v>12183385.98</v>
      </c>
      <c r="E88" s="19"/>
      <c r="T88" s="39">
        <f>AVERAGE(T76:T87)</f>
        <v>6.2228471256052235E-2</v>
      </c>
      <c r="U88" s="39">
        <f>AVERAGE(U76:U87)</f>
        <v>-4.6074681580857653E-2</v>
      </c>
      <c r="V88" s="23"/>
    </row>
    <row r="89" spans="1:22" x14ac:dyDescent="0.2">
      <c r="A89" s="81"/>
      <c r="B89" s="21"/>
      <c r="C89" s="21"/>
      <c r="D89" s="21"/>
      <c r="E89" s="21"/>
    </row>
    <row r="90" spans="1:22" s="5" customFormat="1" ht="12" x14ac:dyDescent="0.2">
      <c r="A90" s="19"/>
      <c r="B90" s="19"/>
      <c r="C90" s="19"/>
      <c r="D90" s="19"/>
      <c r="E90" s="19"/>
    </row>
    <row r="91" spans="1:22" s="5" customFormat="1" x14ac:dyDescent="0.2">
      <c r="A91" s="19"/>
      <c r="B91" s="208" t="s">
        <v>46</v>
      </c>
      <c r="C91" s="208"/>
      <c r="D91" s="210"/>
      <c r="E91" s="19"/>
      <c r="T91" s="209" t="s">
        <v>47</v>
      </c>
      <c r="U91" s="209"/>
      <c r="V91" s="209"/>
    </row>
    <row r="92" spans="1:22" s="5" customFormat="1" ht="36" x14ac:dyDescent="0.2">
      <c r="A92" s="143" t="s">
        <v>1</v>
      </c>
      <c r="B92" s="143" t="s">
        <v>48</v>
      </c>
      <c r="C92" s="143" t="s">
        <v>42</v>
      </c>
      <c r="D92" s="143" t="s">
        <v>7</v>
      </c>
      <c r="E92" s="19"/>
      <c r="T92" s="8" t="s">
        <v>70</v>
      </c>
      <c r="U92" s="8" t="s">
        <v>70</v>
      </c>
      <c r="V92" s="8" t="s">
        <v>71</v>
      </c>
    </row>
    <row r="93" spans="1:22" s="5" customFormat="1" ht="12" x14ac:dyDescent="0.2">
      <c r="A93" s="9">
        <v>41548</v>
      </c>
      <c r="B93" s="73">
        <v>2238270</v>
      </c>
      <c r="C93" s="43">
        <v>148393071</v>
      </c>
      <c r="D93" s="43">
        <v>693283</v>
      </c>
      <c r="E93" s="19"/>
      <c r="T93" s="102">
        <f>(B93-'FY2013'!B93)/'FY2013'!B93</f>
        <v>-3.9856999704870999E-2</v>
      </c>
      <c r="U93" s="102">
        <f>(C93-'FY2013'!C93)/'FY2013'!C93</f>
        <v>-4.4086539201722168E-2</v>
      </c>
      <c r="V93" s="102">
        <f>(D93-'FY2013'!D93)/'FY2013'!D93</f>
        <v>-2.9859184098983936E-2</v>
      </c>
    </row>
    <row r="94" spans="1:22" s="5" customFormat="1" ht="12" x14ac:dyDescent="0.2">
      <c r="A94" s="9">
        <v>41579</v>
      </c>
      <c r="B94" s="73">
        <v>2357475</v>
      </c>
      <c r="C94" s="43">
        <v>159556755</v>
      </c>
      <c r="D94" s="43">
        <v>728747</v>
      </c>
      <c r="E94" s="19"/>
      <c r="T94" s="102">
        <f>(B94-'FY2013'!B94)/'FY2013'!B94</f>
        <v>8.1103080775192377E-2</v>
      </c>
      <c r="U94" s="102">
        <f>(C94-'FY2013'!C94)/'FY2013'!C94</f>
        <v>8.3311535624517291E-2</v>
      </c>
      <c r="V94" s="102">
        <f>(D94-'FY2013'!D94)/'FY2013'!D94</f>
        <v>9.935328344046572E-2</v>
      </c>
    </row>
    <row r="95" spans="1:22" s="5" customFormat="1" ht="12" x14ac:dyDescent="0.2">
      <c r="A95" s="9">
        <v>41609</v>
      </c>
      <c r="B95" s="73">
        <v>2259951</v>
      </c>
      <c r="C95" s="43">
        <v>154333140</v>
      </c>
      <c r="D95" s="43">
        <v>699606</v>
      </c>
      <c r="E95" s="19"/>
      <c r="T95" s="102">
        <f>(B95-'FY2013'!B95)/'FY2013'!B95</f>
        <v>1.3537749493780735E-2</v>
      </c>
      <c r="U95" s="102">
        <f>(C95-'FY2013'!C95)/'FY2013'!C95</f>
        <v>-1.4282017610544444E-2</v>
      </c>
      <c r="V95" s="102">
        <f>(D95-'FY2013'!D95)/'FY2013'!D95</f>
        <v>2.2229950087084595E-2</v>
      </c>
    </row>
    <row r="96" spans="1:22" s="5" customFormat="1" ht="12" x14ac:dyDescent="0.2">
      <c r="A96" s="9">
        <v>41640</v>
      </c>
      <c r="B96" s="73">
        <v>2350622</v>
      </c>
      <c r="C96" s="43">
        <v>156706899</v>
      </c>
      <c r="D96" s="43">
        <v>727274</v>
      </c>
      <c r="E96" s="19"/>
      <c r="T96" s="102">
        <f>(B96-'FY2013'!B96)/'FY2013'!B96</f>
        <v>1.1168519769996374E-2</v>
      </c>
      <c r="U96" s="102">
        <f>(C96-'FY2013'!C96)/'FY2013'!C96</f>
        <v>6.8140254982319822E-3</v>
      </c>
      <c r="V96" s="102">
        <f>(D96-'FY2013'!D96)/'FY2013'!D96</f>
        <v>1.8409890677708585E-2</v>
      </c>
    </row>
    <row r="97" spans="1:22" s="5" customFormat="1" ht="12" x14ac:dyDescent="0.2">
      <c r="A97" s="9">
        <v>41671</v>
      </c>
      <c r="B97" s="73">
        <v>2344240</v>
      </c>
      <c r="C97" s="43">
        <v>161532608.59</v>
      </c>
      <c r="D97" s="43">
        <v>734520.17</v>
      </c>
      <c r="E97" s="19"/>
      <c r="T97" s="102">
        <f>(B97-'FY2013'!B97)/'FY2013'!B97</f>
        <v>3.1180787866391304E-2</v>
      </c>
      <c r="U97" s="102">
        <f>(C97-'FY2013'!C97)/'FY2013'!C97</f>
        <v>4.6283257383105264E-2</v>
      </c>
      <c r="V97" s="102">
        <f>(D97-'FY2013'!D97)/'FY2013'!D97</f>
        <v>4.5882539723222572E-2</v>
      </c>
    </row>
    <row r="98" spans="1:22" s="5" customFormat="1" ht="12" x14ac:dyDescent="0.2">
      <c r="A98" s="9">
        <v>41699</v>
      </c>
      <c r="B98" s="73">
        <v>2683176</v>
      </c>
      <c r="C98" s="43">
        <v>183120538</v>
      </c>
      <c r="D98" s="43">
        <v>844549</v>
      </c>
      <c r="E98" s="19"/>
      <c r="T98" s="102">
        <f>(B98-'FY2013'!B98)/'FY2013'!B98</f>
        <v>1.3135920090228506E-2</v>
      </c>
      <c r="U98" s="102">
        <f>(C98-'FY2013'!C98)/'FY2013'!C98</f>
        <v>1.1229546317603681E-2</v>
      </c>
      <c r="V98" s="102">
        <f>(D98-'FY2013'!D98)/'FY2013'!D98</f>
        <v>1.5211054279686739E-2</v>
      </c>
    </row>
    <row r="99" spans="1:22" s="5" customFormat="1" ht="12" x14ac:dyDescent="0.2">
      <c r="A99" s="9">
        <v>41730</v>
      </c>
      <c r="B99" s="73">
        <v>2622812</v>
      </c>
      <c r="C99" s="43">
        <v>170574212</v>
      </c>
      <c r="D99" s="43">
        <v>815478</v>
      </c>
      <c r="E99" s="19"/>
      <c r="T99" s="102">
        <f>(B99-'FY2013'!B99)/'FY2013'!B99</f>
        <v>7.0146763012619906E-2</v>
      </c>
      <c r="U99" s="102">
        <f>(C99-'FY2013'!C99)/'FY2013'!C99</f>
        <v>5.845399785335912E-2</v>
      </c>
      <c r="V99" s="102">
        <f>(D99-'FY2013'!D99)/'FY2013'!D99</f>
        <v>8.1997882384785017E-2</v>
      </c>
    </row>
    <row r="100" spans="1:22" s="5" customFormat="1" ht="12" x14ac:dyDescent="0.2">
      <c r="A100" s="9">
        <v>41760</v>
      </c>
      <c r="B100" s="73">
        <v>2730720</v>
      </c>
      <c r="C100" s="43">
        <v>178815372</v>
      </c>
      <c r="D100" s="43">
        <v>852158</v>
      </c>
      <c r="E100" s="19"/>
      <c r="T100" s="102">
        <f>(B100-'FY2013'!B100)/'FY2013'!B100</f>
        <v>2.9674716122264445E-2</v>
      </c>
      <c r="U100" s="102">
        <f>(C100-'FY2013'!C100)/'FY2013'!C100</f>
        <v>1.1329857055723489E-2</v>
      </c>
      <c r="V100" s="102">
        <f>(D100-'FY2013'!D100)/'FY2013'!D100</f>
        <v>3.7285445274470592E-2</v>
      </c>
    </row>
    <row r="101" spans="1:22" s="5" customFormat="1" ht="12" x14ac:dyDescent="0.2">
      <c r="A101" s="9">
        <v>41791</v>
      </c>
      <c r="B101" s="73">
        <v>2609899</v>
      </c>
      <c r="C101" s="43">
        <v>167648014</v>
      </c>
      <c r="D101" s="43">
        <v>814222</v>
      </c>
      <c r="E101" s="19"/>
      <c r="T101" s="102">
        <f>(B101-'FY2013'!B101)/'FY2013'!B101</f>
        <v>9.016133164183363E-4</v>
      </c>
      <c r="U101" s="102">
        <f>(C101-'FY2013'!C101)/'FY2013'!C101</f>
        <v>-5.3769596866982454E-2</v>
      </c>
      <c r="V101" s="102">
        <f>(D101-'FY2013'!D101)/'FY2013'!D101</f>
        <v>-1.5227161676414953E-2</v>
      </c>
    </row>
    <row r="102" spans="1:22" s="5" customFormat="1" ht="12" x14ac:dyDescent="0.2">
      <c r="A102" s="9">
        <v>41821</v>
      </c>
      <c r="B102" s="73">
        <v>2790258</v>
      </c>
      <c r="C102" s="43">
        <v>178181055</v>
      </c>
      <c r="D102" s="43">
        <v>864882</v>
      </c>
      <c r="E102" s="19"/>
      <c r="T102" s="102">
        <f>(B102-'FY2013'!B102)/'FY2013'!B102</f>
        <v>0.11126829390686999</v>
      </c>
      <c r="U102" s="102">
        <f>(C102-'FY2013'!C102)/'FY2013'!C102</f>
        <v>3.1875576110457104E-2</v>
      </c>
      <c r="V102" s="102">
        <f>(D102-'FY2013'!D102)/'FY2013'!D102</f>
        <v>9.1808363383199379E-2</v>
      </c>
    </row>
    <row r="103" spans="1:22" s="5" customFormat="1" ht="12" x14ac:dyDescent="0.2">
      <c r="A103" s="9">
        <v>41852</v>
      </c>
      <c r="B103" s="73">
        <v>2791990</v>
      </c>
      <c r="C103" s="43">
        <v>180865691</v>
      </c>
      <c r="D103" s="43">
        <v>864571</v>
      </c>
      <c r="E103" s="19"/>
      <c r="T103" s="102">
        <f>(B103-'FY2013'!B103)/'FY2013'!B103</f>
        <v>7.3279661469775659E-2</v>
      </c>
      <c r="U103" s="102">
        <f>(C103-'FY2013'!C103)/'FY2013'!C103</f>
        <v>1.9889071973059717E-2</v>
      </c>
      <c r="V103" s="102">
        <f>(D103-'FY2013'!D103)/'FY2013'!D103</f>
        <v>6.1981719937453245E-2</v>
      </c>
    </row>
    <row r="104" spans="1:22" s="5" customFormat="1" ht="12" x14ac:dyDescent="0.2">
      <c r="A104" s="9">
        <v>41883</v>
      </c>
      <c r="B104" s="73">
        <v>2511687</v>
      </c>
      <c r="C104" s="43">
        <v>156714364</v>
      </c>
      <c r="D104" s="43">
        <v>820259</v>
      </c>
      <c r="E104" s="19"/>
      <c r="T104" s="102">
        <f>(B104-'FY2013'!B104)/'FY2013'!B104</f>
        <v>7.3184310756338855E-2</v>
      </c>
      <c r="U104" s="102">
        <f>(C104-'FY2013'!C104)/'FY2013'!C104</f>
        <v>-9.770245481615706E-3</v>
      </c>
      <c r="V104" s="102">
        <f>(D104-'FY2013'!D104)/'FY2013'!D104</f>
        <v>0.12906196317667268</v>
      </c>
    </row>
    <row r="105" spans="1:22" s="5" customFormat="1" ht="12" x14ac:dyDescent="0.2">
      <c r="A105" s="108" t="s">
        <v>119</v>
      </c>
      <c r="B105" s="74">
        <f>SUM(B93:B104)</f>
        <v>30291100</v>
      </c>
      <c r="C105" s="45">
        <f>SUM(C93:C104)</f>
        <v>1996441719.5900002</v>
      </c>
      <c r="D105" s="45">
        <f>SUM(D93:D104)</f>
        <v>9459549.1699999999</v>
      </c>
      <c r="E105" s="19"/>
      <c r="T105" s="103">
        <f>AVERAGE(T93:T104)</f>
        <v>3.9060368072917122E-2</v>
      </c>
      <c r="U105" s="103">
        <f>AVERAGE(U93:U104)</f>
        <v>1.2273205721266075E-2</v>
      </c>
      <c r="V105" s="103">
        <f>AVERAGE(V93:V104)</f>
        <v>4.6511312215779178E-2</v>
      </c>
    </row>
    <row r="106" spans="1:22" x14ac:dyDescent="0.2">
      <c r="B106" s="21"/>
      <c r="C106" s="21"/>
      <c r="D106" s="21"/>
      <c r="E106" s="21"/>
    </row>
    <row r="107" spans="1:22" x14ac:dyDescent="0.2">
      <c r="A107" s="59"/>
      <c r="B107" s="21"/>
      <c r="C107" s="21"/>
      <c r="D107" s="21"/>
      <c r="E107" s="21"/>
    </row>
    <row r="108" spans="1:22" x14ac:dyDescent="0.2">
      <c r="A108" s="59"/>
      <c r="B108" s="21"/>
      <c r="C108" s="21"/>
      <c r="D108" s="21"/>
      <c r="E108" s="21"/>
    </row>
    <row r="109" spans="1:22" s="5" customFormat="1" x14ac:dyDescent="0.2">
      <c r="A109" s="19"/>
      <c r="B109" s="208" t="s">
        <v>114</v>
      </c>
      <c r="C109" s="208"/>
      <c r="D109" s="210"/>
      <c r="E109" s="19"/>
      <c r="T109" s="209" t="s">
        <v>57</v>
      </c>
      <c r="U109" s="209"/>
      <c r="V109" s="209"/>
    </row>
    <row r="110" spans="1:22" s="5" customFormat="1" ht="36" x14ac:dyDescent="0.2">
      <c r="A110" s="143" t="s">
        <v>1</v>
      </c>
      <c r="B110" s="143" t="s">
        <v>2</v>
      </c>
      <c r="C110" s="143" t="s">
        <v>3</v>
      </c>
      <c r="D110" s="94"/>
      <c r="E110" s="19"/>
      <c r="T110" s="8" t="s">
        <v>9</v>
      </c>
      <c r="U110" s="8" t="s">
        <v>10</v>
      </c>
      <c r="V110" s="54"/>
    </row>
    <row r="111" spans="1:22" s="5" customFormat="1" ht="12" x14ac:dyDescent="0.2">
      <c r="A111" s="9">
        <v>41548</v>
      </c>
      <c r="B111" s="31">
        <f t="shared" ref="B111:C122" si="5">B59/B25</f>
        <v>1.8246882156482722</v>
      </c>
      <c r="C111" s="31">
        <f t="shared" si="5"/>
        <v>0.26313708033660427</v>
      </c>
      <c r="D111" s="92"/>
      <c r="E111" s="19"/>
      <c r="T111" s="38">
        <f>(B111-'FY2013'!B111)/'FY2013'!B111</f>
        <v>6.3368998282723576E-2</v>
      </c>
      <c r="U111" s="38">
        <f>(C111-'FY2013'!C111)/'FY2013'!C111</f>
        <v>3.2786524494642942E-2</v>
      </c>
      <c r="V111" s="26"/>
    </row>
    <row r="112" spans="1:22" s="5" customFormat="1" ht="12" x14ac:dyDescent="0.2">
      <c r="A112" s="9">
        <v>41579</v>
      </c>
      <c r="B112" s="31">
        <f t="shared" si="5"/>
        <v>1.781277932788107</v>
      </c>
      <c r="C112" s="31">
        <f t="shared" si="5"/>
        <v>0.25087247469477836</v>
      </c>
      <c r="D112" s="92"/>
      <c r="E112" s="19"/>
      <c r="T112" s="38">
        <f>(B112-'FY2013'!B112)/'FY2013'!B112</f>
        <v>-5.1429138425312972E-2</v>
      </c>
      <c r="U112" s="38">
        <f>(C112-'FY2013'!C112)/'FY2013'!C112</f>
        <v>-3.4882546542264616E-2</v>
      </c>
      <c r="V112" s="26"/>
    </row>
    <row r="113" spans="1:22" s="5" customFormat="1" ht="12" x14ac:dyDescent="0.2">
      <c r="A113" s="9">
        <v>41609</v>
      </c>
      <c r="B113" s="31">
        <f t="shared" si="5"/>
        <v>1.8042151417354886</v>
      </c>
      <c r="C113" s="31">
        <f t="shared" si="5"/>
        <v>0.26569327534301324</v>
      </c>
      <c r="D113" s="92"/>
      <c r="E113" s="19"/>
      <c r="T113" s="38">
        <f>(B113-'FY2013'!B113)/'FY2013'!B113</f>
        <v>-6.0510131450226164E-2</v>
      </c>
      <c r="U113" s="38">
        <f>(C113-'FY2013'!C113)/'FY2013'!C113</f>
        <v>3.9972717852107507E-2</v>
      </c>
      <c r="V113" s="26"/>
    </row>
    <row r="114" spans="1:22" s="5" customFormat="1" ht="12" x14ac:dyDescent="0.2">
      <c r="A114" s="9">
        <v>41640</v>
      </c>
      <c r="B114" s="31">
        <f t="shared" si="5"/>
        <v>1.6672149302927084</v>
      </c>
      <c r="C114" s="31">
        <f t="shared" si="5"/>
        <v>0.25936000842717266</v>
      </c>
      <c r="D114" s="92"/>
      <c r="E114" s="19"/>
      <c r="T114" s="38">
        <f>(B114-'FY2013'!B114)/'FY2013'!B114</f>
        <v>-0.10705823968085952</v>
      </c>
      <c r="U114" s="38">
        <f>(C114-'FY2013'!C114)/'FY2013'!C114</f>
        <v>1.8284896810820402E-2</v>
      </c>
      <c r="V114" s="26"/>
    </row>
    <row r="115" spans="1:22" s="5" customFormat="1" ht="12" x14ac:dyDescent="0.2">
      <c r="A115" s="9">
        <v>41671</v>
      </c>
      <c r="B115" s="31">
        <f t="shared" si="5"/>
        <v>1.6311081526877691</v>
      </c>
      <c r="C115" s="31">
        <f t="shared" si="5"/>
        <v>0.25499560667677607</v>
      </c>
      <c r="D115" s="92"/>
      <c r="E115" s="19"/>
      <c r="T115" s="38">
        <f>(B115-'FY2013'!B115)/'FY2013'!B115</f>
        <v>-8.0187559172545525E-2</v>
      </c>
      <c r="U115" s="38">
        <f>(C115-'FY2013'!C115)/'FY2013'!C115</f>
        <v>-5.0202136402622746E-3</v>
      </c>
      <c r="V115" s="26"/>
    </row>
    <row r="116" spans="1:22" s="5" customFormat="1" ht="12" x14ac:dyDescent="0.2">
      <c r="A116" s="9">
        <v>41699</v>
      </c>
      <c r="B116" s="31">
        <f t="shared" si="5"/>
        <v>1.5954719165948072</v>
      </c>
      <c r="C116" s="31">
        <f t="shared" si="5"/>
        <v>0.25308335888416955</v>
      </c>
      <c r="D116" s="92"/>
      <c r="E116" s="19"/>
      <c r="T116" s="38">
        <f>(B116-'FY2013'!B116)/'FY2013'!B116</f>
        <v>-9.8410733784530274E-2</v>
      </c>
      <c r="U116" s="38">
        <f>(C116-'FY2013'!C116)/'FY2013'!C116</f>
        <v>-5.2653094732935078E-3</v>
      </c>
      <c r="V116" s="26"/>
    </row>
    <row r="117" spans="1:22" s="5" customFormat="1" ht="12" x14ac:dyDescent="0.2">
      <c r="A117" s="9">
        <v>41730</v>
      </c>
      <c r="B117" s="31">
        <f t="shared" si="5"/>
        <v>1.6537493752989405</v>
      </c>
      <c r="C117" s="31">
        <f t="shared" si="5"/>
        <v>0.26150744801804932</v>
      </c>
      <c r="D117" s="92"/>
      <c r="E117" s="19"/>
      <c r="T117" s="38">
        <f>(B117-'FY2013'!B117)/'FY2013'!B117</f>
        <v>-0.10370934332112557</v>
      </c>
      <c r="U117" s="38">
        <f>(C117-'FY2013'!C117)/'FY2013'!C117</f>
        <v>1.1132298296646487E-2</v>
      </c>
      <c r="V117" s="26"/>
    </row>
    <row r="118" spans="1:22" s="5" customFormat="1" ht="12" x14ac:dyDescent="0.2">
      <c r="A118" s="9">
        <v>41760</v>
      </c>
      <c r="B118" s="31">
        <f t="shared" si="5"/>
        <v>1.703822263895953</v>
      </c>
      <c r="C118" s="31">
        <f t="shared" si="5"/>
        <v>0.26162785706717784</v>
      </c>
      <c r="D118" s="92"/>
      <c r="E118" s="19"/>
      <c r="T118" s="38">
        <f>(B118-'FY2013'!B118)/'FY2013'!B118</f>
        <v>-7.5839427083065722E-2</v>
      </c>
      <c r="U118" s="38">
        <f>(C118-'FY2013'!C118)/'FY2013'!C118</f>
        <v>1.5268044961970607E-3</v>
      </c>
      <c r="V118" s="26"/>
    </row>
    <row r="119" spans="1:22" s="5" customFormat="1" ht="12" x14ac:dyDescent="0.2">
      <c r="A119" s="9">
        <v>41791</v>
      </c>
      <c r="B119" s="31">
        <f t="shared" si="5"/>
        <v>1.6974769310269802</v>
      </c>
      <c r="C119" s="31">
        <f t="shared" si="5"/>
        <v>0.25088715169649767</v>
      </c>
      <c r="D119" s="92"/>
      <c r="E119" s="19"/>
      <c r="T119" s="38">
        <f>(B119-'FY2013'!B119)/'FY2013'!B119</f>
        <v>-6.8578345767935159E-2</v>
      </c>
      <c r="U119" s="38">
        <f>(C119-'FY2013'!C119)/'FY2013'!C119</f>
        <v>-1.1218377941811549E-2</v>
      </c>
      <c r="V119" s="26"/>
    </row>
    <row r="120" spans="1:22" s="5" customFormat="1" ht="12" x14ac:dyDescent="0.2">
      <c r="A120" s="9">
        <v>41821</v>
      </c>
      <c r="B120" s="31">
        <f t="shared" si="5"/>
        <v>1.6312560476663103</v>
      </c>
      <c r="C120" s="31">
        <f t="shared" si="5"/>
        <v>0.26037346878857881</v>
      </c>
      <c r="D120" s="92"/>
      <c r="E120" s="19"/>
      <c r="T120" s="38">
        <f>(B120-'FY2013'!B120)/'FY2013'!B120</f>
        <v>-0.1234333397099414</v>
      </c>
      <c r="U120" s="38">
        <f>(C120-'FY2013'!C120)/'FY2013'!C120</f>
        <v>8.6066131338471373E-3</v>
      </c>
      <c r="V120" s="26"/>
    </row>
    <row r="121" spans="1:22" s="5" customFormat="1" ht="12" x14ac:dyDescent="0.2">
      <c r="A121" s="9">
        <v>41852</v>
      </c>
      <c r="B121" s="31">
        <f t="shared" si="5"/>
        <v>1.8566014682638179</v>
      </c>
      <c r="C121" s="31">
        <f t="shared" si="5"/>
        <v>0.24142554144670975</v>
      </c>
      <c r="D121" s="92"/>
      <c r="E121" s="19"/>
      <c r="T121" s="38">
        <f>(B121-'FY2013'!B121)/'FY2013'!B121</f>
        <v>2.4792261478209746E-2</v>
      </c>
      <c r="U121" s="38">
        <f>(C121-'FY2013'!C121)/'FY2013'!C121</f>
        <v>-6.8784642432322893E-2</v>
      </c>
      <c r="V121" s="26"/>
    </row>
    <row r="122" spans="1:22" s="5" customFormat="1" ht="12" x14ac:dyDescent="0.2">
      <c r="A122" s="9">
        <v>41883</v>
      </c>
      <c r="B122" s="31">
        <f t="shared" si="5"/>
        <v>1.6819325850253344</v>
      </c>
      <c r="C122" s="31">
        <f t="shared" si="5"/>
        <v>0.25379117814349661</v>
      </c>
      <c r="D122" s="92"/>
      <c r="E122" s="19"/>
      <c r="T122" s="38">
        <f>(B122-'FY2013'!B122)/'FY2013'!B122</f>
        <v>-0.1215564152095364</v>
      </c>
      <c r="U122" s="38">
        <f>(C122-'FY2013'!C122)/'FY2013'!C122</f>
        <v>7.7148918731473996E-3</v>
      </c>
      <c r="V122" s="26"/>
    </row>
    <row r="123" spans="1:22" s="5" customFormat="1" ht="12" x14ac:dyDescent="0.2">
      <c r="A123" s="108" t="s">
        <v>119</v>
      </c>
      <c r="B123" s="32">
        <f>(B88+B71)/B37</f>
        <v>1.8412042006656903</v>
      </c>
      <c r="C123" s="32">
        <f>C71/C37</f>
        <v>0.25620336478649713</v>
      </c>
      <c r="D123" s="93"/>
      <c r="E123" s="19"/>
      <c r="T123" s="39">
        <f>AVERAGE(T111:T122)</f>
        <v>-6.6879284487012122E-2</v>
      </c>
      <c r="U123" s="39">
        <f>AVERAGE(U111:U122)</f>
        <v>-4.2886192271215842E-4</v>
      </c>
      <c r="V123" s="23"/>
    </row>
    <row r="124" spans="1:22" s="5" customFormat="1" ht="12" x14ac:dyDescent="0.2">
      <c r="A124" s="59" t="s">
        <v>35</v>
      </c>
      <c r="B124" s="88"/>
      <c r="C124" s="88"/>
      <c r="D124" s="88"/>
      <c r="E124" s="19"/>
      <c r="T124" s="51"/>
      <c r="U124" s="51"/>
      <c r="V124" s="18"/>
    </row>
    <row r="125" spans="1:22" x14ac:dyDescent="0.2">
      <c r="B125" s="21"/>
      <c r="C125" s="21"/>
      <c r="D125" s="21"/>
      <c r="E125" s="21"/>
    </row>
    <row r="126" spans="1:22" s="5" customFormat="1" x14ac:dyDescent="0.2">
      <c r="A126" s="19"/>
      <c r="B126" s="208" t="s">
        <v>53</v>
      </c>
      <c r="C126" s="208"/>
      <c r="D126" s="210"/>
      <c r="E126" s="19"/>
      <c r="T126" s="209" t="s">
        <v>31</v>
      </c>
      <c r="U126" s="209"/>
      <c r="V126" s="209"/>
    </row>
    <row r="127" spans="1:22" s="5" customFormat="1" ht="36" x14ac:dyDescent="0.2">
      <c r="A127" s="143" t="s">
        <v>1</v>
      </c>
      <c r="B127" s="143" t="s">
        <v>56</v>
      </c>
      <c r="C127" s="143" t="s">
        <v>3</v>
      </c>
      <c r="D127" s="94"/>
      <c r="E127" s="19"/>
      <c r="T127" s="8" t="s">
        <v>9</v>
      </c>
      <c r="U127" s="8" t="s">
        <v>10</v>
      </c>
      <c r="V127" s="54"/>
    </row>
    <row r="128" spans="1:22" s="5" customFormat="1" ht="12" x14ac:dyDescent="0.2">
      <c r="A128" s="9">
        <v>41548</v>
      </c>
      <c r="B128" s="90">
        <f t="shared" ref="B128:C139" si="6">B76/B25</f>
        <v>0.13603465799063749</v>
      </c>
      <c r="C128" s="90">
        <f t="shared" si="6"/>
        <v>3.0445891448038904E-2</v>
      </c>
      <c r="D128" s="92"/>
      <c r="E128" s="19"/>
      <c r="T128" s="38">
        <f>(B128-'FY2013'!B128)/'FY2013'!B128</f>
        <v>2.7361061877167654E-2</v>
      </c>
      <c r="U128" s="38">
        <f>(C128-'FY2013'!C128)/'FY2013'!C128</f>
        <v>-0.12824086930569623</v>
      </c>
      <c r="V128" s="26"/>
    </row>
    <row r="129" spans="1:22" s="5" customFormat="1" ht="12" x14ac:dyDescent="0.2">
      <c r="A129" s="9">
        <v>41579</v>
      </c>
      <c r="B129" s="90">
        <f t="shared" si="6"/>
        <v>0.13556923905977514</v>
      </c>
      <c r="C129" s="90">
        <f t="shared" si="6"/>
        <v>3.8960893213560631E-2</v>
      </c>
      <c r="D129" s="92"/>
      <c r="E129" s="19"/>
      <c r="T129" s="38">
        <f>(B129-'FY2013'!B129)/'FY2013'!B129</f>
        <v>1.8227292198701162E-2</v>
      </c>
      <c r="U129" s="38">
        <f>(C129-'FY2013'!C129)/'FY2013'!C129</f>
        <v>0.11214426627373682</v>
      </c>
      <c r="V129" s="26"/>
    </row>
    <row r="130" spans="1:22" s="5" customFormat="1" ht="12" x14ac:dyDescent="0.2">
      <c r="A130" s="9">
        <v>41609</v>
      </c>
      <c r="B130" s="90">
        <f t="shared" si="6"/>
        <v>0.13755745572130895</v>
      </c>
      <c r="C130" s="90">
        <f t="shared" si="6"/>
        <v>3.1369116254324078E-2</v>
      </c>
      <c r="D130" s="92"/>
      <c r="E130" s="19"/>
      <c r="T130" s="38">
        <f>(B130-'FY2013'!B130)/'FY2013'!B130</f>
        <v>1.2019083604588645E-2</v>
      </c>
      <c r="U130" s="38">
        <f>(C130-'FY2013'!C130)/'FY2013'!C130</f>
        <v>-9.1666696016335522E-2</v>
      </c>
      <c r="V130" s="26"/>
    </row>
    <row r="131" spans="1:22" s="5" customFormat="1" ht="12" x14ac:dyDescent="0.2">
      <c r="A131" s="9">
        <v>41640</v>
      </c>
      <c r="B131" s="90">
        <f t="shared" si="6"/>
        <v>0.13015898535930095</v>
      </c>
      <c r="C131" s="90">
        <f t="shared" si="6"/>
        <v>3.0668951925170804E-2</v>
      </c>
      <c r="D131" s="92"/>
      <c r="E131" s="19"/>
      <c r="T131" s="38">
        <f>(B131-'FY2013'!B131)/'FY2013'!B131</f>
        <v>-9.1754896502517264E-4</v>
      </c>
      <c r="U131" s="38">
        <f>(C131-'FY2013'!C131)/'FY2013'!C131</f>
        <v>-0.11267141198073442</v>
      </c>
      <c r="V131" s="26"/>
    </row>
    <row r="132" spans="1:22" s="5" customFormat="1" ht="12" x14ac:dyDescent="0.2">
      <c r="A132" s="9">
        <v>41671</v>
      </c>
      <c r="B132" s="90">
        <f t="shared" si="6"/>
        <v>0.13012209533520996</v>
      </c>
      <c r="C132" s="90">
        <f t="shared" si="6"/>
        <v>3.391168731500583E-2</v>
      </c>
      <c r="D132" s="92"/>
      <c r="E132" s="19"/>
      <c r="T132" s="38">
        <f>(B132-'FY2013'!B132)/'FY2013'!B132</f>
        <v>1.7284248715678588E-2</v>
      </c>
      <c r="U132" s="38">
        <f>(C132-'FY2013'!C132)/'FY2013'!C132</f>
        <v>-3.3530415980450382E-2</v>
      </c>
      <c r="V132" s="26"/>
    </row>
    <row r="133" spans="1:22" s="5" customFormat="1" ht="12" x14ac:dyDescent="0.2">
      <c r="A133" s="9">
        <v>41699</v>
      </c>
      <c r="B133" s="90">
        <f t="shared" si="6"/>
        <v>0.12754126216117204</v>
      </c>
      <c r="C133" s="90">
        <f t="shared" si="6"/>
        <v>3.0097397870558446E-2</v>
      </c>
      <c r="D133" s="92"/>
      <c r="E133" s="19"/>
      <c r="T133" s="38">
        <f>(B133-'FY2013'!B133)/'FY2013'!B133</f>
        <v>1.1661631336051694E-2</v>
      </c>
      <c r="U133" s="38">
        <f>(C133-'FY2013'!C133)/'FY2013'!C133</f>
        <v>-0.1278645284686076</v>
      </c>
      <c r="V133" s="26"/>
    </row>
    <row r="134" spans="1:22" s="5" customFormat="1" ht="12" x14ac:dyDescent="0.2">
      <c r="A134" s="9">
        <v>41730</v>
      </c>
      <c r="B134" s="90">
        <f t="shared" si="6"/>
        <v>0.12958293445581451</v>
      </c>
      <c r="C134" s="90">
        <f t="shared" si="6"/>
        <v>3.1712016313437306E-2</v>
      </c>
      <c r="D134" s="92"/>
      <c r="E134" s="19"/>
      <c r="T134" s="38">
        <f>(B134-'FY2013'!B134)/'FY2013'!B134</f>
        <v>2.6572564164727669E-2</v>
      </c>
      <c r="U134" s="38">
        <f>(C134-'FY2013'!C134)/'FY2013'!C134</f>
        <v>-3.7368645995796319E-2</v>
      </c>
      <c r="V134" s="26"/>
    </row>
    <row r="135" spans="1:22" s="5" customFormat="1" ht="12" x14ac:dyDescent="0.2">
      <c r="A135" s="9">
        <v>41760</v>
      </c>
      <c r="B135" s="90">
        <f t="shared" si="6"/>
        <v>0.13546776382930897</v>
      </c>
      <c r="C135" s="90">
        <f t="shared" si="6"/>
        <v>3.1217377903420739E-2</v>
      </c>
      <c r="D135" s="92"/>
      <c r="E135" s="19"/>
      <c r="T135" s="38">
        <f>(B135-'FY2013'!B135)/'FY2013'!B135</f>
        <v>8.3478035707427276E-2</v>
      </c>
      <c r="U135" s="38">
        <f>(C135-'FY2013'!C135)/'FY2013'!C135</f>
        <v>-5.6968971649461936E-2</v>
      </c>
      <c r="V135" s="26"/>
    </row>
    <row r="136" spans="1:22" s="5" customFormat="1" ht="12" x14ac:dyDescent="0.2">
      <c r="A136" s="9">
        <v>41791</v>
      </c>
      <c r="B136" s="90">
        <f t="shared" si="6"/>
        <v>0.13117786662315056</v>
      </c>
      <c r="C136" s="90">
        <f t="shared" si="6"/>
        <v>3.0707062467591507E-2</v>
      </c>
      <c r="D136" s="92"/>
      <c r="E136" s="19"/>
      <c r="T136" s="38">
        <f>(B136-'FY2013'!B136)/'FY2013'!B136</f>
        <v>8.1869670942868941E-3</v>
      </c>
      <c r="U136" s="38">
        <f>(C136-'FY2013'!C136)/'FY2013'!C136</f>
        <v>3.3763351015097794E-4</v>
      </c>
      <c r="V136" s="26"/>
    </row>
    <row r="137" spans="1:22" s="5" customFormat="1" ht="12" x14ac:dyDescent="0.2">
      <c r="A137" s="9">
        <v>41821</v>
      </c>
      <c r="B137" s="90">
        <f t="shared" si="6"/>
        <v>0.12930807013800655</v>
      </c>
      <c r="C137" s="90">
        <f t="shared" si="6"/>
        <v>3.1853879669203909E-2</v>
      </c>
      <c r="D137" s="92"/>
      <c r="E137" s="19"/>
      <c r="T137" s="38">
        <f>(B137-'FY2013'!B137)/'FY2013'!B137</f>
        <v>-2.3332639965600567E-2</v>
      </c>
      <c r="U137" s="38">
        <f>(C137-'FY2013'!C137)/'FY2013'!C137</f>
        <v>2.1399884840927034E-2</v>
      </c>
      <c r="V137" s="26"/>
    </row>
    <row r="138" spans="1:22" s="5" customFormat="1" ht="12" x14ac:dyDescent="0.2">
      <c r="A138" s="9">
        <v>41852</v>
      </c>
      <c r="B138" s="90">
        <f t="shared" si="6"/>
        <v>0.13166474402010042</v>
      </c>
      <c r="C138" s="90">
        <f t="shared" si="6"/>
        <v>2.8901459465344542E-2</v>
      </c>
      <c r="D138" s="92"/>
      <c r="E138" s="19"/>
      <c r="T138" s="38">
        <f>(B138-'FY2013'!B138)/'FY2013'!B138</f>
        <v>-5.6854419204446938E-3</v>
      </c>
      <c r="U138" s="38">
        <f>(C138-'FY2013'!C138)/'FY2013'!C138</f>
        <v>-0.2074625258648907</v>
      </c>
      <c r="V138" s="26"/>
    </row>
    <row r="139" spans="1:22" s="5" customFormat="1" ht="12" x14ac:dyDescent="0.2">
      <c r="A139" s="9">
        <v>41883</v>
      </c>
      <c r="B139" s="90">
        <f t="shared" si="6"/>
        <v>0.1355854363512207</v>
      </c>
      <c r="C139" s="90">
        <f t="shared" si="6"/>
        <v>3.118600235927646E-2</v>
      </c>
      <c r="D139" s="92"/>
      <c r="E139" s="19"/>
      <c r="T139" s="38">
        <f>(B139-'FY2013'!B139)/'FY2013'!B139</f>
        <v>5.4024296497560151E-4</v>
      </c>
      <c r="U139" s="38">
        <f>(C139-'FY2013'!C139)/'FY2013'!C139</f>
        <v>7.2239017214700704E-2</v>
      </c>
      <c r="V139" s="26"/>
    </row>
    <row r="140" spans="1:22" s="5" customFormat="1" ht="12" x14ac:dyDescent="0.2">
      <c r="A140" s="108" t="s">
        <v>119</v>
      </c>
      <c r="B140" s="91">
        <f>AVERAGE(B128:B139)</f>
        <v>0.13248087592041721</v>
      </c>
      <c r="C140" s="104">
        <f>AVERAGE(C128:C139)</f>
        <v>3.1752644683744426E-2</v>
      </c>
      <c r="D140" s="93"/>
      <c r="E140" s="19"/>
      <c r="T140" s="39">
        <f>AVERAGE(T128:T139)</f>
        <v>1.461629140104456E-2</v>
      </c>
      <c r="U140" s="39">
        <f>AVERAGE(U128:U139)</f>
        <v>-4.9137771951871467E-2</v>
      </c>
      <c r="V140" s="23"/>
    </row>
    <row r="141" spans="1:22" x14ac:dyDescent="0.2">
      <c r="A141" s="59" t="s">
        <v>115</v>
      </c>
      <c r="B141" s="21"/>
      <c r="C141" s="21"/>
      <c r="D141" s="21"/>
      <c r="E141" s="21"/>
    </row>
    <row r="142" spans="1:22" x14ac:dyDescent="0.2">
      <c r="A142" s="21"/>
      <c r="B142" s="21"/>
      <c r="C142" s="21"/>
      <c r="D142" s="21"/>
      <c r="E142" s="21"/>
    </row>
    <row r="143" spans="1:22" ht="15.75" x14ac:dyDescent="0.25">
      <c r="A143" s="207" t="s">
        <v>14</v>
      </c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5"/>
      <c r="T143" s="205"/>
      <c r="U143" s="205"/>
      <c r="V143" s="205"/>
    </row>
    <row r="145" spans="1:22" x14ac:dyDescent="0.2">
      <c r="A145" s="5"/>
      <c r="B145" s="202" t="s">
        <v>16</v>
      </c>
      <c r="C145" s="202"/>
      <c r="D145" s="202"/>
      <c r="T145" s="203" t="s">
        <v>14</v>
      </c>
      <c r="U145" s="203"/>
      <c r="V145" s="203"/>
    </row>
    <row r="146" spans="1:22" ht="36" x14ac:dyDescent="0.2">
      <c r="A146" s="144" t="s">
        <v>1</v>
      </c>
      <c r="B146" s="37" t="s">
        <v>27</v>
      </c>
      <c r="C146" s="37" t="s">
        <v>26</v>
      </c>
      <c r="D146" s="37" t="s">
        <v>25</v>
      </c>
      <c r="T146" s="8" t="s">
        <v>18</v>
      </c>
      <c r="U146" s="8" t="s">
        <v>19</v>
      </c>
      <c r="V146" s="8" t="s">
        <v>11</v>
      </c>
    </row>
    <row r="147" spans="1:22" x14ac:dyDescent="0.2">
      <c r="A147" s="9">
        <v>41548</v>
      </c>
      <c r="B147" s="10">
        <v>2</v>
      </c>
      <c r="C147" s="10">
        <v>20</v>
      </c>
      <c r="D147" s="10">
        <v>22</v>
      </c>
      <c r="T147" s="38">
        <v>1</v>
      </c>
      <c r="U147" s="38">
        <f>(C147-'FY2013'!C147)/'FY2013'!C147</f>
        <v>-0.77011494252873558</v>
      </c>
      <c r="V147" s="38">
        <f>(D147-'FY2013'!D147)/'FY2013'!D147</f>
        <v>-0.74712643678160917</v>
      </c>
    </row>
    <row r="148" spans="1:22" x14ac:dyDescent="0.2">
      <c r="A148" s="9">
        <v>41579</v>
      </c>
      <c r="B148" s="10">
        <v>2</v>
      </c>
      <c r="C148" s="10">
        <v>11</v>
      </c>
      <c r="D148" s="10">
        <v>13</v>
      </c>
      <c r="T148" s="38">
        <f>(B148-'FY2013'!B148)/'FY2013'!B148</f>
        <v>-0.6</v>
      </c>
      <c r="U148" s="38">
        <f>(C148-'FY2013'!C148)/'FY2013'!C148</f>
        <v>0.1</v>
      </c>
      <c r="V148" s="38">
        <f>(D148-'FY2013'!D148)/'FY2013'!D148</f>
        <v>-0.13333333333333333</v>
      </c>
    </row>
    <row r="149" spans="1:22" x14ac:dyDescent="0.2">
      <c r="A149" s="9">
        <v>41609</v>
      </c>
      <c r="B149" s="10">
        <v>8</v>
      </c>
      <c r="C149" s="10">
        <v>20</v>
      </c>
      <c r="D149" s="10">
        <v>28</v>
      </c>
      <c r="T149" s="38">
        <f>(B149-'FY2013'!B149)/'FY2013'!B149</f>
        <v>1.6666666666666667</v>
      </c>
      <c r="U149" s="38">
        <f>(C149-'FY2013'!C149)/'FY2013'!C149</f>
        <v>-0.74683544303797467</v>
      </c>
      <c r="V149" s="38">
        <f>(D149-'FY2013'!D149)/'FY2013'!D149</f>
        <v>-0.65853658536585369</v>
      </c>
    </row>
    <row r="150" spans="1:22" x14ac:dyDescent="0.2">
      <c r="A150" s="9">
        <v>41640</v>
      </c>
      <c r="B150" s="10">
        <v>6</v>
      </c>
      <c r="C150" s="10">
        <v>18</v>
      </c>
      <c r="D150" s="10">
        <v>24</v>
      </c>
      <c r="T150" s="38">
        <f>(B150-'FY2013'!B150)/'FY2013'!B150</f>
        <v>0.5</v>
      </c>
      <c r="U150" s="38">
        <f>(C150-'FY2013'!C150)/'FY2013'!C150</f>
        <v>-0.88819875776397517</v>
      </c>
      <c r="V150" s="38">
        <f>(D150-'FY2013'!D150)/'FY2013'!D150</f>
        <v>-0.85542168674698793</v>
      </c>
    </row>
    <row r="151" spans="1:22" x14ac:dyDescent="0.2">
      <c r="A151" s="9">
        <v>41671</v>
      </c>
      <c r="B151" s="10">
        <v>15</v>
      </c>
      <c r="C151" s="10">
        <v>36</v>
      </c>
      <c r="D151" s="10">
        <v>51</v>
      </c>
      <c r="T151" s="38">
        <f>(B151-'FY2013'!B151)/'FY2013'!B151</f>
        <v>2</v>
      </c>
      <c r="U151" s="38">
        <f>(C151-'FY2013'!C151)/'FY2013'!C151</f>
        <v>2.6</v>
      </c>
      <c r="V151" s="38">
        <f>(D151-'FY2013'!D151)/'FY2013'!D151</f>
        <v>2.4</v>
      </c>
    </row>
    <row r="152" spans="1:22" x14ac:dyDescent="0.2">
      <c r="A152" s="9">
        <v>41699</v>
      </c>
      <c r="B152" s="10">
        <v>7</v>
      </c>
      <c r="C152" s="10">
        <v>19</v>
      </c>
      <c r="D152" s="10">
        <v>26</v>
      </c>
      <c r="T152" s="38">
        <f>(B152-'FY2013'!B152)/'FY2013'!B152</f>
        <v>-0.75862068965517238</v>
      </c>
      <c r="U152" s="38">
        <f>(C152-'FY2013'!C152)/'FY2013'!C152</f>
        <v>5.333333333333333</v>
      </c>
      <c r="V152" s="38">
        <f>(D152-'FY2013'!D152)/'FY2013'!D152</f>
        <v>-0.1875</v>
      </c>
    </row>
    <row r="153" spans="1:22" x14ac:dyDescent="0.2">
      <c r="A153" s="9">
        <v>41730</v>
      </c>
      <c r="B153" s="10">
        <v>6</v>
      </c>
      <c r="C153" s="10">
        <v>34</v>
      </c>
      <c r="D153" s="10">
        <v>40</v>
      </c>
      <c r="T153" s="38">
        <f>(B153-'FY2013'!B153)/'FY2013'!B153</f>
        <v>0.5</v>
      </c>
      <c r="U153" s="38">
        <f>(C153-'FY2013'!C153)/'FY2013'!C153</f>
        <v>0.21428571428571427</v>
      </c>
      <c r="V153" s="38">
        <f>(D153-'FY2013'!D153)/'FY2013'!D153</f>
        <v>0.14285714285714285</v>
      </c>
    </row>
    <row r="154" spans="1:22" x14ac:dyDescent="0.2">
      <c r="A154" s="9">
        <v>41760</v>
      </c>
      <c r="B154" s="10">
        <v>9</v>
      </c>
      <c r="C154" s="10">
        <v>18</v>
      </c>
      <c r="D154" s="10">
        <v>27</v>
      </c>
      <c r="T154" s="38">
        <f>(B154-'FY2013'!B154)/'FY2013'!B154</f>
        <v>1.25</v>
      </c>
      <c r="U154" s="38">
        <f>(C154-'FY2013'!C154)/'FY2013'!C154</f>
        <v>-0.35714285714285715</v>
      </c>
      <c r="V154" s="38">
        <f>(D154-'FY2013'!D154)/'FY2013'!D154</f>
        <v>-0.15625</v>
      </c>
    </row>
    <row r="155" spans="1:22" x14ac:dyDescent="0.2">
      <c r="A155" s="9">
        <v>41791</v>
      </c>
      <c r="B155" s="10">
        <v>9</v>
      </c>
      <c r="C155" s="10">
        <v>1235</v>
      </c>
      <c r="D155" s="10">
        <v>1244</v>
      </c>
      <c r="T155" s="38">
        <f>(B155-'FY2013'!B155)/'FY2013'!B155</f>
        <v>8</v>
      </c>
      <c r="U155" s="38">
        <f>(C155-'FY2013'!C155)/'FY2013'!C155</f>
        <v>1234</v>
      </c>
      <c r="V155" s="38">
        <f>(D155-'FY2013'!D155)/'FY2013'!D155</f>
        <v>621</v>
      </c>
    </row>
    <row r="156" spans="1:22" x14ac:dyDescent="0.2">
      <c r="A156" s="9">
        <v>41821</v>
      </c>
      <c r="B156" s="10">
        <v>2</v>
      </c>
      <c r="C156" s="10">
        <v>15</v>
      </c>
      <c r="D156" s="10">
        <v>17</v>
      </c>
      <c r="T156" s="38">
        <f>(B156-'FY2013'!B156)/'FY2013'!B156</f>
        <v>-0.5</v>
      </c>
      <c r="U156" s="38">
        <f>(C156-'FY2013'!C156)/'FY2013'!C156</f>
        <v>-0.92924528301886788</v>
      </c>
      <c r="V156" s="38">
        <f>(D156-'FY2013'!D156)/'FY2013'!D156</f>
        <v>-0.92129629629629628</v>
      </c>
    </row>
    <row r="157" spans="1:22" x14ac:dyDescent="0.2">
      <c r="A157" s="9">
        <v>41852</v>
      </c>
      <c r="B157" s="10">
        <v>4</v>
      </c>
      <c r="C157" s="10">
        <v>27</v>
      </c>
      <c r="D157" s="10">
        <v>31</v>
      </c>
      <c r="T157" s="38">
        <f>(B157-'FY2013'!B157)/'FY2013'!B157</f>
        <v>-0.69230769230769229</v>
      </c>
      <c r="U157" s="38">
        <f>(C157-'FY2013'!C157)/'FY2013'!C157</f>
        <v>0.17391304347826086</v>
      </c>
      <c r="V157" s="38">
        <f>(D157-'FY2013'!D157)/'FY2013'!D157</f>
        <v>-0.16216216216216217</v>
      </c>
    </row>
    <row r="158" spans="1:22" x14ac:dyDescent="0.2">
      <c r="A158" s="9">
        <v>41883</v>
      </c>
      <c r="B158" s="10">
        <v>8</v>
      </c>
      <c r="C158" s="10">
        <v>17</v>
      </c>
      <c r="D158" s="10">
        <v>26</v>
      </c>
      <c r="T158" s="38">
        <f>(B158-'FY2013'!B158)/'FY2013'!B158</f>
        <v>-0.1111111111111111</v>
      </c>
      <c r="U158" s="38">
        <f>(C158-'FY2013'!C158)/'FY2013'!C158</f>
        <v>4.666666666666667</v>
      </c>
      <c r="V158" s="38">
        <f>(D158-'FY2013'!D158)/'FY2013'!D158</f>
        <v>0.8571428571428571</v>
      </c>
    </row>
    <row r="159" spans="1:22" x14ac:dyDescent="0.2">
      <c r="A159" s="108" t="s">
        <v>119</v>
      </c>
      <c r="B159" s="11">
        <f>SUM(B147:B158)</f>
        <v>78</v>
      </c>
      <c r="C159" s="11">
        <f>SUM(C147:C158)</f>
        <v>1470</v>
      </c>
      <c r="D159" s="11">
        <f>SUM(D147:D158)</f>
        <v>1549</v>
      </c>
      <c r="T159" s="39">
        <f>AVERAGE(T147:T158)</f>
        <v>1.0212189311327242</v>
      </c>
      <c r="U159" s="39">
        <f>AVERAGE(U147:U158)</f>
        <v>103.61638845618931</v>
      </c>
      <c r="V159" s="39">
        <f>AVERAGE(V147:V158)</f>
        <v>51.714864458276146</v>
      </c>
    </row>
    <row r="162" spans="1:22" x14ac:dyDescent="0.2">
      <c r="A162" s="5"/>
      <c r="B162" s="212" t="s">
        <v>39</v>
      </c>
      <c r="C162" s="213"/>
      <c r="D162" s="214"/>
      <c r="T162" s="215" t="s">
        <v>33</v>
      </c>
      <c r="U162" s="216"/>
      <c r="V162" s="217"/>
    </row>
    <row r="163" spans="1:22" ht="36" x14ac:dyDescent="0.2">
      <c r="A163" s="144" t="s">
        <v>1</v>
      </c>
      <c r="B163" s="37" t="s">
        <v>32</v>
      </c>
      <c r="C163" s="52"/>
      <c r="D163" s="52"/>
      <c r="T163" s="8" t="s">
        <v>18</v>
      </c>
      <c r="U163" s="54"/>
      <c r="V163" s="54"/>
    </row>
    <row r="164" spans="1:22" x14ac:dyDescent="0.2">
      <c r="A164" s="9">
        <v>41548</v>
      </c>
      <c r="B164" s="58">
        <v>8029</v>
      </c>
      <c r="C164" s="53"/>
      <c r="D164" s="53"/>
      <c r="T164" s="38">
        <f>(B164-'FY2013'!B164)/'FY2013'!B164</f>
        <v>0.10959093421779989</v>
      </c>
      <c r="U164" s="55"/>
      <c r="V164" s="55"/>
    </row>
    <row r="165" spans="1:22" x14ac:dyDescent="0.2">
      <c r="A165" s="9">
        <v>41579</v>
      </c>
      <c r="B165" s="58">
        <v>8036</v>
      </c>
      <c r="C165" s="53"/>
      <c r="D165" s="53"/>
      <c r="T165" s="38">
        <f>(B165-'FY2013'!B165)/'FY2013'!B165</f>
        <v>0.10582083390670152</v>
      </c>
      <c r="U165" s="55"/>
      <c r="V165" s="55"/>
    </row>
    <row r="166" spans="1:22" x14ac:dyDescent="0.2">
      <c r="A166" s="9">
        <v>41609</v>
      </c>
      <c r="B166" s="58">
        <v>8112</v>
      </c>
      <c r="C166" s="53"/>
      <c r="D166" s="53"/>
      <c r="T166" s="38">
        <f>(B166-'FY2013'!B166)/'FY2013'!B166</f>
        <v>0.10187449062754686</v>
      </c>
      <c r="U166" s="55"/>
      <c r="V166" s="55"/>
    </row>
    <row r="167" spans="1:22" x14ac:dyDescent="0.2">
      <c r="A167" s="9">
        <v>41640</v>
      </c>
      <c r="B167" s="58">
        <v>8140</v>
      </c>
      <c r="C167" s="53"/>
      <c r="D167" s="53"/>
      <c r="T167" s="38">
        <f>(B167-'FY2013'!B167)/'FY2013'!B167</f>
        <v>7.8145695364238404E-2</v>
      </c>
      <c r="U167" s="55"/>
      <c r="V167" s="55"/>
    </row>
    <row r="168" spans="1:22" x14ac:dyDescent="0.2">
      <c r="A168" s="9">
        <v>41671</v>
      </c>
      <c r="B168" s="58">
        <v>7941</v>
      </c>
      <c r="C168" s="53"/>
      <c r="D168" s="53"/>
      <c r="T168" s="38">
        <f>(B168-'FY2013'!B168)/'FY2013'!B168</f>
        <v>4.8732171156893822E-2</v>
      </c>
      <c r="U168" s="55"/>
      <c r="V168" s="55"/>
    </row>
    <row r="169" spans="1:22" x14ac:dyDescent="0.2">
      <c r="A169" s="9">
        <v>41699</v>
      </c>
      <c r="B169" s="58">
        <v>7984</v>
      </c>
      <c r="C169" s="53"/>
      <c r="D169" s="53"/>
      <c r="T169" s="38">
        <f>(B169-'FY2013'!B169)/'FY2013'!B169</f>
        <v>6.6381728329103773E-2</v>
      </c>
      <c r="U169" s="55"/>
      <c r="V169" s="55"/>
    </row>
    <row r="170" spans="1:22" x14ac:dyDescent="0.2">
      <c r="A170" s="9">
        <v>41730</v>
      </c>
      <c r="B170" s="58">
        <v>8064</v>
      </c>
      <c r="C170" s="53"/>
      <c r="D170" s="53"/>
      <c r="T170" s="38">
        <f>(B170-'FY2013'!B170)/'FY2013'!B170</f>
        <v>6.7513899920571885E-2</v>
      </c>
      <c r="U170" s="55"/>
      <c r="V170" s="55"/>
    </row>
    <row r="171" spans="1:22" x14ac:dyDescent="0.2">
      <c r="A171" s="9">
        <v>41760</v>
      </c>
      <c r="B171" s="58">
        <v>8091</v>
      </c>
      <c r="C171" s="53"/>
      <c r="D171" s="53"/>
      <c r="T171" s="38">
        <f>(B171-'FY2013'!B171)/'FY2013'!B171</f>
        <v>6.4885496183206104E-2</v>
      </c>
      <c r="U171" s="55"/>
      <c r="V171" s="55"/>
    </row>
    <row r="172" spans="1:22" x14ac:dyDescent="0.2">
      <c r="A172" s="9">
        <v>41791</v>
      </c>
      <c r="B172" s="58">
        <v>9345</v>
      </c>
      <c r="C172" s="53"/>
      <c r="D172" s="53"/>
      <c r="T172" s="38">
        <f>(B172-'FY2013'!B172)/'FY2013'!B172</f>
        <v>0.22188807531380753</v>
      </c>
      <c r="U172" s="55"/>
      <c r="V172" s="55"/>
    </row>
    <row r="173" spans="1:22" x14ac:dyDescent="0.2">
      <c r="A173" s="9">
        <v>41821</v>
      </c>
      <c r="B173" s="58">
        <v>9386</v>
      </c>
      <c r="C173" s="53"/>
      <c r="D173" s="53"/>
      <c r="T173" s="38">
        <f>(B173-'FY2013'!B173)/'FY2013'!B173</f>
        <v>0.19157039482036309</v>
      </c>
      <c r="U173" s="55"/>
      <c r="V173" s="55"/>
    </row>
    <row r="174" spans="1:22" x14ac:dyDescent="0.2">
      <c r="A174" s="9">
        <v>41852</v>
      </c>
      <c r="B174" s="58">
        <v>9419</v>
      </c>
      <c r="C174" s="53"/>
      <c r="D174" s="53"/>
      <c r="T174" s="38">
        <f>(B174-'FY2013'!B174)/'FY2013'!B174</f>
        <v>0.18701953371140517</v>
      </c>
      <c r="U174" s="55"/>
      <c r="V174" s="55"/>
    </row>
    <row r="175" spans="1:22" x14ac:dyDescent="0.2">
      <c r="A175" s="9">
        <v>41883</v>
      </c>
      <c r="B175" s="58">
        <v>9462</v>
      </c>
      <c r="C175" s="53"/>
      <c r="D175" s="53"/>
      <c r="T175" s="38">
        <f>(B175-'FY2013'!B175)/'FY2013'!B175</f>
        <v>0.1780378486055777</v>
      </c>
      <c r="U175" s="55"/>
      <c r="V175" s="55"/>
    </row>
    <row r="176" spans="1:22" x14ac:dyDescent="0.2">
      <c r="A176" s="63" t="s">
        <v>120</v>
      </c>
      <c r="B176" s="63">
        <f>AVERAGE(B164:B175)</f>
        <v>8500.75</v>
      </c>
      <c r="C176" s="53"/>
      <c r="D176" s="53"/>
      <c r="T176" s="39">
        <f>AVERAGE(T164:T175)</f>
        <v>0.11845509184643466</v>
      </c>
      <c r="U176" s="55"/>
      <c r="V176" s="55"/>
    </row>
    <row r="177" spans="1:22" x14ac:dyDescent="0.2">
      <c r="A177" s="77"/>
      <c r="B177" s="77"/>
      <c r="C177" s="83"/>
      <c r="D177" s="83"/>
      <c r="T177" s="51"/>
      <c r="U177" s="50"/>
      <c r="V177" s="50"/>
    </row>
    <row r="179" spans="1:22" ht="15.75" x14ac:dyDescent="0.25">
      <c r="A179" s="207" t="s">
        <v>49</v>
      </c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5"/>
      <c r="T179" s="205"/>
      <c r="U179" s="205"/>
      <c r="V179" s="205"/>
    </row>
    <row r="180" spans="1:22" ht="15.75" x14ac:dyDescent="0.2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1"/>
      <c r="T180" s="141"/>
      <c r="U180" s="141"/>
      <c r="V180" s="141"/>
    </row>
    <row r="181" spans="1:22" x14ac:dyDescent="0.2">
      <c r="A181" s="5"/>
      <c r="B181" s="212" t="s">
        <v>40</v>
      </c>
      <c r="C181" s="213"/>
      <c r="D181" s="214"/>
      <c r="T181" s="212" t="s">
        <v>40</v>
      </c>
      <c r="U181" s="213"/>
      <c r="V181" s="214"/>
    </row>
    <row r="182" spans="1:22" ht="48.75" customHeight="1" x14ac:dyDescent="0.2">
      <c r="A182" s="144" t="s">
        <v>1</v>
      </c>
      <c r="B182" s="37" t="s">
        <v>41</v>
      </c>
      <c r="C182" s="64" t="s">
        <v>42</v>
      </c>
      <c r="D182" s="64" t="s">
        <v>43</v>
      </c>
      <c r="T182" s="8" t="s">
        <v>72</v>
      </c>
      <c r="U182" s="8" t="s">
        <v>73</v>
      </c>
      <c r="V182" s="54"/>
    </row>
    <row r="183" spans="1:22" x14ac:dyDescent="0.2">
      <c r="A183" s="9">
        <v>41548</v>
      </c>
      <c r="B183" s="58">
        <f>678+335+36</f>
        <v>1049</v>
      </c>
      <c r="C183" s="43">
        <f>226934+78111+16448</f>
        <v>321493</v>
      </c>
      <c r="D183" s="66">
        <f t="shared" ref="D183:D195" si="7">B183/B25</f>
        <v>1.7077472957276199E-4</v>
      </c>
      <c r="E183" s="68"/>
      <c r="T183" s="102">
        <f>(B183-'FY2013'!B183)/'FY2013'!B183</f>
        <v>0.59908536585365857</v>
      </c>
      <c r="U183" s="102">
        <f>(C183-'FY2013'!C183)/'FY2013'!C183</f>
        <v>0.38048497085030686</v>
      </c>
      <c r="V183" s="55"/>
    </row>
    <row r="184" spans="1:22" x14ac:dyDescent="0.2">
      <c r="A184" s="9">
        <v>41579</v>
      </c>
      <c r="B184" s="58">
        <f>570+237+35</f>
        <v>842</v>
      </c>
      <c r="C184" s="43">
        <f>170884+55096+14927</f>
        <v>240907</v>
      </c>
      <c r="D184" s="66">
        <f t="shared" si="7"/>
        <v>1.3528368925368712E-4</v>
      </c>
      <c r="E184" s="68"/>
      <c r="T184" s="102">
        <f>(B184-'FY2013'!B184)/'FY2013'!B184</f>
        <v>0.2796352583586626</v>
      </c>
      <c r="U184" s="102">
        <f>(C184-'FY2013'!C184)/'FY2013'!C184</f>
        <v>-8.3526051032686496E-2</v>
      </c>
      <c r="V184" s="55"/>
    </row>
    <row r="185" spans="1:22" x14ac:dyDescent="0.2">
      <c r="A185" s="9">
        <v>41609</v>
      </c>
      <c r="B185" s="58">
        <f>516+159+42</f>
        <v>717</v>
      </c>
      <c r="C185" s="43">
        <f>151040.95+46701.05+10535.21</f>
        <v>208277.21</v>
      </c>
      <c r="D185" s="66">
        <f t="shared" si="7"/>
        <v>1.1907405226935713E-4</v>
      </c>
      <c r="E185" s="68"/>
      <c r="T185" s="102">
        <f>(B185-'FY2013'!B185)/'FY2013'!B185</f>
        <v>0.35538752362948961</v>
      </c>
      <c r="U185" s="102">
        <f>(C185-'FY2013'!C185)/'FY2013'!C185</f>
        <v>0.29239532934431967</v>
      </c>
      <c r="V185" s="55"/>
    </row>
    <row r="186" spans="1:22" x14ac:dyDescent="0.2">
      <c r="A186" s="9">
        <v>41640</v>
      </c>
      <c r="B186" s="58">
        <f>510+168+35</f>
        <v>713</v>
      </c>
      <c r="C186" s="43">
        <f>139282+104937+26818</f>
        <v>271037</v>
      </c>
      <c r="D186" s="66">
        <f t="shared" si="7"/>
        <v>1.0923722541124445E-4</v>
      </c>
      <c r="E186" s="68"/>
      <c r="T186" s="102">
        <f>(B186-'FY2013'!B186)/'FY2013'!B186</f>
        <v>0.3010948905109489</v>
      </c>
      <c r="U186" s="102">
        <f>(C186-'FY2013'!C186)/'FY2013'!C186</f>
        <v>0.69734921518022142</v>
      </c>
      <c r="V186" s="55"/>
    </row>
    <row r="187" spans="1:22" x14ac:dyDescent="0.2">
      <c r="A187" s="9">
        <v>41671</v>
      </c>
      <c r="B187" s="58">
        <f>503+145+35</f>
        <v>683</v>
      </c>
      <c r="C187" s="43">
        <f>137301.99+38818.38+24021.87</f>
        <v>200142.24</v>
      </c>
      <c r="D187" s="66">
        <f t="shared" si="7"/>
        <v>1.0947163666828604E-4</v>
      </c>
      <c r="E187" s="68"/>
      <c r="T187" s="102">
        <f>(B187-'FY2013'!B187)/'FY2013'!B187</f>
        <v>0.31346153846153846</v>
      </c>
      <c r="U187" s="102">
        <f>(C187-'FY2013'!C187)/'FY2013'!C187</f>
        <v>7.2314059881646062E-2</v>
      </c>
      <c r="V187" s="55"/>
    </row>
    <row r="188" spans="1:22" x14ac:dyDescent="0.2">
      <c r="A188" s="9">
        <v>41699</v>
      </c>
      <c r="B188" s="58">
        <f>468+178+39</f>
        <v>685</v>
      </c>
      <c r="C188" s="43">
        <f>162912.75+68478.03+18575.36</f>
        <v>249966.14</v>
      </c>
      <c r="D188" s="66">
        <f t="shared" si="7"/>
        <v>9.6296885688427141E-5</v>
      </c>
      <c r="E188" s="68"/>
      <c r="T188" s="102">
        <f>(B188-'FY2013'!B188)/'FY2013'!B188</f>
        <v>6.5318818040435461E-2</v>
      </c>
      <c r="U188" s="102">
        <f>(C188-'FY2013'!C188)/'FY2013'!C188</f>
        <v>2.4069465895915923E-2</v>
      </c>
      <c r="V188" s="55"/>
    </row>
    <row r="189" spans="1:22" x14ac:dyDescent="0.2">
      <c r="A189" s="9">
        <v>41730</v>
      </c>
      <c r="B189" s="58">
        <f>473+157+34</f>
        <v>664</v>
      </c>
      <c r="C189" s="43">
        <f>167852+51293+18124</f>
        <v>237269</v>
      </c>
      <c r="D189" s="66">
        <f t="shared" si="7"/>
        <v>9.2512183673466544E-5</v>
      </c>
      <c r="E189" s="68"/>
      <c r="T189" s="102">
        <f>(B189-'FY2013'!B189)/'FY2013'!B189</f>
        <v>6.0606060606060606E-3</v>
      </c>
      <c r="U189" s="102">
        <f>(C189-'FY2013'!C189)/'FY2013'!C189</f>
        <v>6.4540298989608946E-2</v>
      </c>
      <c r="V189" s="55"/>
    </row>
    <row r="190" spans="1:22" x14ac:dyDescent="0.2">
      <c r="A190" s="9">
        <v>41760</v>
      </c>
      <c r="B190" s="58">
        <f>453+183+29</f>
        <v>665</v>
      </c>
      <c r="C190" s="43">
        <f>148166+79708+13307</f>
        <v>241181</v>
      </c>
      <c r="D190" s="66">
        <f t="shared" si="7"/>
        <v>8.8195643135229119E-5</v>
      </c>
      <c r="T190" s="102">
        <f>(B190-'FY2013'!B190)/'FY2013'!B190</f>
        <v>-9.5238095238095233E-2</v>
      </c>
      <c r="U190" s="102">
        <f>(C190-'FY2013'!C190)/'FY2013'!C190</f>
        <v>0.4177097774719809</v>
      </c>
      <c r="V190" s="55"/>
    </row>
    <row r="191" spans="1:22" x14ac:dyDescent="0.2">
      <c r="A191" s="9">
        <v>41791</v>
      </c>
      <c r="B191" s="58">
        <f>54+443+188</f>
        <v>685</v>
      </c>
      <c r="C191" s="43">
        <f>123246+56167+20771</f>
        <v>200184</v>
      </c>
      <c r="D191" s="66">
        <f t="shared" si="7"/>
        <v>9.3151653611836383E-5</v>
      </c>
      <c r="T191" s="102">
        <f>(B191-'FY2013'!B191)/'FY2013'!B191</f>
        <v>-0.14906832298136646</v>
      </c>
      <c r="U191" s="102">
        <f>(C191-'FY2013'!C191)/'FY2013'!C191</f>
        <v>-0.23580105464065981</v>
      </c>
      <c r="V191" s="55"/>
    </row>
    <row r="192" spans="1:22" x14ac:dyDescent="0.2">
      <c r="A192" s="9">
        <v>41821</v>
      </c>
      <c r="B192" s="58">
        <f>534+199+49</f>
        <v>782</v>
      </c>
      <c r="C192" s="43">
        <f>151689.2+43309.43+25250.84</f>
        <v>220249.47</v>
      </c>
      <c r="D192" s="66">
        <f t="shared" si="7"/>
        <v>9.9315396871056994E-5</v>
      </c>
      <c r="T192" s="102">
        <f>(B192-'FY2013'!B192)/'FY2013'!B192</f>
        <v>-2.2499999999999999E-2</v>
      </c>
      <c r="U192" s="102">
        <f>(C192-'FY2013'!C192)/'FY2013'!C192</f>
        <v>3.0761700331744551E-2</v>
      </c>
      <c r="V192" s="55"/>
    </row>
    <row r="193" spans="1:22" x14ac:dyDescent="0.2">
      <c r="A193" s="9">
        <v>41852</v>
      </c>
      <c r="B193" s="58">
        <f>629+220+50</f>
        <v>899</v>
      </c>
      <c r="C193" s="43">
        <f>156135.34+60037.65+17667.96</f>
        <v>233840.94999999998</v>
      </c>
      <c r="D193" s="66">
        <f t="shared" si="7"/>
        <v>1.1597803151609475E-4</v>
      </c>
      <c r="T193" s="102">
        <f>(B193-'FY2013'!B193)/'FY2013'!B193</f>
        <v>7.407407407407407E-2</v>
      </c>
      <c r="U193" s="102">
        <f>(C193-'FY2013'!C193)/'FY2013'!C193</f>
        <v>-0.23430000491167183</v>
      </c>
      <c r="V193" s="55"/>
    </row>
    <row r="194" spans="1:22" x14ac:dyDescent="0.2">
      <c r="A194" s="9">
        <v>41883</v>
      </c>
      <c r="B194" s="58">
        <f>977+418+67</f>
        <v>1462</v>
      </c>
      <c r="C194" s="43">
        <f>397979.84+146982.16+37462.57</f>
        <v>582424.56999999995</v>
      </c>
      <c r="D194" s="66">
        <f t="shared" si="7"/>
        <v>2.0656816106438838E-4</v>
      </c>
      <c r="T194" s="102">
        <f>(B194-'FY2013'!B194)/'FY2013'!B194</f>
        <v>1.0447552447552448</v>
      </c>
      <c r="U194" s="102">
        <f>(C194-'FY2013'!C194)/'FY2013'!C194</f>
        <v>1.2713517950877848</v>
      </c>
      <c r="V194" s="55"/>
    </row>
    <row r="195" spans="1:22" x14ac:dyDescent="0.2">
      <c r="A195" s="108" t="s">
        <v>119</v>
      </c>
      <c r="B195" s="63">
        <f>SUM(B183:B194)</f>
        <v>9846</v>
      </c>
      <c r="C195" s="65">
        <f>SUM(C183:C194)</f>
        <v>3206971.58</v>
      </c>
      <c r="D195" s="67">
        <f t="shared" si="7"/>
        <v>1.1856707963237703E-4</v>
      </c>
      <c r="T195" s="103">
        <f>AVERAGE(T183:T194)</f>
        <v>0.23100557512709974</v>
      </c>
      <c r="U195" s="103">
        <f>AVERAGE(U183:U194)</f>
        <v>0.22477912520404256</v>
      </c>
      <c r="V195" s="55"/>
    </row>
    <row r="196" spans="1:22" x14ac:dyDescent="0.2">
      <c r="D196" s="68"/>
      <c r="T196" s="57"/>
      <c r="U196" s="57"/>
      <c r="V196" s="57"/>
    </row>
    <row r="197" spans="1:22" x14ac:dyDescent="0.2">
      <c r="B197" s="218" t="s">
        <v>122</v>
      </c>
      <c r="C197" s="218"/>
      <c r="D197" s="69">
        <v>1.3999999999999999E-4</v>
      </c>
      <c r="T197" s="57"/>
      <c r="U197" s="57"/>
      <c r="V197" s="57"/>
    </row>
    <row r="199" spans="1:22" ht="15.75" x14ac:dyDescent="0.25">
      <c r="A199" s="207" t="s">
        <v>96</v>
      </c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5"/>
      <c r="T199" s="205"/>
      <c r="U199" s="205"/>
      <c r="V199" s="205"/>
    </row>
    <row r="201" spans="1:22" x14ac:dyDescent="0.2">
      <c r="A201" s="5"/>
      <c r="B201" s="211" t="s">
        <v>96</v>
      </c>
      <c r="C201" s="211"/>
      <c r="D201" s="211"/>
      <c r="E201" s="134"/>
      <c r="F201" s="134"/>
      <c r="T201" s="212" t="s">
        <v>96</v>
      </c>
      <c r="U201" s="213"/>
      <c r="V201" s="214"/>
    </row>
    <row r="202" spans="1:22" ht="48.75" customHeight="1" x14ac:dyDescent="0.2">
      <c r="A202" s="144" t="s">
        <v>1</v>
      </c>
      <c r="B202" s="115" t="s">
        <v>97</v>
      </c>
      <c r="C202" s="116" t="s">
        <v>98</v>
      </c>
      <c r="D202" s="64" t="s">
        <v>99</v>
      </c>
      <c r="E202" s="220"/>
      <c r="F202" s="221"/>
      <c r="T202" s="113"/>
      <c r="U202" s="113"/>
      <c r="V202" s="113"/>
    </row>
    <row r="203" spans="1:22" x14ac:dyDescent="0.2">
      <c r="A203" s="9">
        <v>41548</v>
      </c>
      <c r="B203" s="146">
        <v>1</v>
      </c>
      <c r="C203" s="73">
        <v>1</v>
      </c>
      <c r="D203" s="43">
        <v>275</v>
      </c>
      <c r="E203" s="219"/>
      <c r="F203" s="219"/>
      <c r="T203" s="114"/>
      <c r="U203" s="114"/>
      <c r="V203" s="114"/>
    </row>
    <row r="204" spans="1:22" x14ac:dyDescent="0.2">
      <c r="A204" s="9">
        <v>41579</v>
      </c>
      <c r="B204" s="146">
        <v>1</v>
      </c>
      <c r="C204" s="73">
        <v>1</v>
      </c>
      <c r="D204" s="43">
        <v>287</v>
      </c>
      <c r="E204" s="219"/>
      <c r="F204" s="219"/>
      <c r="T204" s="114"/>
      <c r="U204" s="114"/>
      <c r="V204" s="114"/>
    </row>
    <row r="205" spans="1:22" x14ac:dyDescent="0.2">
      <c r="A205" s="9">
        <v>41609</v>
      </c>
      <c r="B205" s="146">
        <v>1</v>
      </c>
      <c r="C205" s="73">
        <v>0</v>
      </c>
      <c r="D205" s="43">
        <v>0</v>
      </c>
      <c r="E205" s="219"/>
      <c r="F205" s="219"/>
      <c r="T205" s="114"/>
      <c r="U205" s="114"/>
      <c r="V205" s="114"/>
    </row>
    <row r="206" spans="1:22" x14ac:dyDescent="0.2">
      <c r="A206" s="9">
        <v>41640</v>
      </c>
      <c r="B206" s="146">
        <v>1</v>
      </c>
      <c r="C206" s="73">
        <v>5</v>
      </c>
      <c r="D206" s="43">
        <v>1176.94</v>
      </c>
      <c r="E206" s="219"/>
      <c r="F206" s="219"/>
      <c r="T206" s="114"/>
      <c r="U206" s="114"/>
      <c r="V206" s="114"/>
    </row>
    <row r="207" spans="1:22" x14ac:dyDescent="0.2">
      <c r="A207" s="9">
        <v>41671</v>
      </c>
      <c r="B207" s="58">
        <v>1</v>
      </c>
      <c r="C207" s="73">
        <v>3</v>
      </c>
      <c r="D207" s="43">
        <v>1175</v>
      </c>
      <c r="E207" s="219"/>
      <c r="F207" s="219"/>
      <c r="T207" s="114"/>
      <c r="U207" s="114"/>
      <c r="V207" s="114"/>
    </row>
    <row r="208" spans="1:22" x14ac:dyDescent="0.2">
      <c r="A208" s="9">
        <v>41699</v>
      </c>
      <c r="B208" s="58">
        <v>1</v>
      </c>
      <c r="C208" s="73">
        <v>25</v>
      </c>
      <c r="D208" s="43">
        <v>5308.5</v>
      </c>
      <c r="E208" s="219"/>
      <c r="F208" s="219"/>
      <c r="T208" s="114"/>
      <c r="U208" s="114"/>
      <c r="V208" s="114"/>
    </row>
    <row r="209" spans="1:22" x14ac:dyDescent="0.2">
      <c r="A209" s="9">
        <v>41730</v>
      </c>
      <c r="B209" s="58">
        <v>1</v>
      </c>
      <c r="C209" s="73">
        <v>0</v>
      </c>
      <c r="D209" s="43">
        <v>0</v>
      </c>
      <c r="E209" s="219"/>
      <c r="F209" s="219"/>
      <c r="T209" s="114"/>
      <c r="U209" s="114"/>
      <c r="V209" s="114"/>
    </row>
    <row r="210" spans="1:22" x14ac:dyDescent="0.2">
      <c r="A210" s="9">
        <v>41760</v>
      </c>
      <c r="B210" s="58">
        <v>1</v>
      </c>
      <c r="C210" s="73">
        <v>2</v>
      </c>
      <c r="D210" s="43">
        <v>377.75</v>
      </c>
      <c r="E210" s="219"/>
      <c r="F210" s="219"/>
      <c r="T210" s="114"/>
      <c r="U210" s="114"/>
      <c r="V210" s="114"/>
    </row>
    <row r="211" spans="1:22" x14ac:dyDescent="0.2">
      <c r="A211" s="9">
        <v>41791</v>
      </c>
      <c r="B211" s="58">
        <v>2</v>
      </c>
      <c r="C211" s="73">
        <v>0</v>
      </c>
      <c r="D211" s="43">
        <v>0</v>
      </c>
      <c r="E211" s="219"/>
      <c r="F211" s="219"/>
      <c r="T211" s="114"/>
      <c r="U211" s="114"/>
      <c r="V211" s="114"/>
    </row>
    <row r="212" spans="1:22" x14ac:dyDescent="0.2">
      <c r="A212" s="9">
        <v>41821</v>
      </c>
      <c r="B212" s="58">
        <v>3</v>
      </c>
      <c r="C212" s="73">
        <v>1</v>
      </c>
      <c r="D212" s="43">
        <v>50</v>
      </c>
      <c r="E212" s="219"/>
      <c r="F212" s="219"/>
      <c r="T212" s="114"/>
      <c r="U212" s="114"/>
      <c r="V212" s="114"/>
    </row>
    <row r="213" spans="1:22" x14ac:dyDescent="0.2">
      <c r="A213" s="9">
        <v>41852</v>
      </c>
      <c r="B213" s="58">
        <v>3</v>
      </c>
      <c r="C213" s="73">
        <f>1</f>
        <v>1</v>
      </c>
      <c r="D213" s="43">
        <f>50</f>
        <v>50</v>
      </c>
      <c r="E213" s="219"/>
      <c r="F213" s="219"/>
      <c r="T213" s="114"/>
      <c r="U213" s="114"/>
      <c r="V213" s="114"/>
    </row>
    <row r="214" spans="1:22" x14ac:dyDescent="0.2">
      <c r="A214" s="9">
        <v>41883</v>
      </c>
      <c r="B214" s="58">
        <v>3</v>
      </c>
      <c r="C214" s="73">
        <v>0</v>
      </c>
      <c r="D214" s="43">
        <v>0</v>
      </c>
      <c r="E214" s="219"/>
      <c r="F214" s="219"/>
      <c r="T214" s="114"/>
      <c r="U214" s="114"/>
      <c r="V214" s="114"/>
    </row>
    <row r="215" spans="1:22" x14ac:dyDescent="0.2">
      <c r="A215" s="110" t="s">
        <v>119</v>
      </c>
      <c r="B215" s="135"/>
      <c r="C215" s="63">
        <f>SUM(C203:C214)</f>
        <v>39</v>
      </c>
      <c r="D215" s="65">
        <f>SUM(D203:D214)</f>
        <v>8700.19</v>
      </c>
      <c r="E215" s="223"/>
      <c r="F215" s="223"/>
      <c r="T215" s="51"/>
      <c r="U215" s="50"/>
      <c r="V215" s="50"/>
    </row>
    <row r="216" spans="1:22" x14ac:dyDescent="0.2">
      <c r="A216" s="118" t="s">
        <v>100</v>
      </c>
      <c r="B216" s="77" t="s">
        <v>121</v>
      </c>
      <c r="C216" s="77"/>
      <c r="D216" s="77"/>
    </row>
    <row r="217" spans="1:22" x14ac:dyDescent="0.2">
      <c r="A217" s="118"/>
      <c r="B217" s="77"/>
      <c r="C217" s="77"/>
      <c r="D217" s="77"/>
    </row>
    <row r="218" spans="1:22" x14ac:dyDescent="0.2">
      <c r="A218" s="118"/>
      <c r="B218" s="77"/>
      <c r="C218" s="77"/>
      <c r="D218" s="77"/>
    </row>
    <row r="219" spans="1:22" ht="15.75" x14ac:dyDescent="0.25">
      <c r="A219" s="207" t="s">
        <v>102</v>
      </c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5"/>
      <c r="T219" s="205"/>
      <c r="U219" s="205"/>
      <c r="V219" s="205"/>
    </row>
    <row r="220" spans="1:22" ht="15.75" x14ac:dyDescent="0.25">
      <c r="A220" s="140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1"/>
      <c r="T220" s="141"/>
      <c r="U220" s="141"/>
      <c r="V220" s="141"/>
    </row>
    <row r="221" spans="1:22" x14ac:dyDescent="0.2">
      <c r="A221" s="5"/>
      <c r="B221" s="211" t="s">
        <v>103</v>
      </c>
      <c r="C221" s="211"/>
      <c r="D221" s="211"/>
      <c r="E221" s="224"/>
      <c r="F221" s="224"/>
      <c r="T221" s="212" t="s">
        <v>80</v>
      </c>
      <c r="U221" s="213"/>
      <c r="V221" s="214"/>
    </row>
    <row r="222" spans="1:22" ht="48.75" customHeight="1" x14ac:dyDescent="0.2">
      <c r="A222" s="144" t="s">
        <v>1</v>
      </c>
      <c r="B222" s="115" t="s">
        <v>79</v>
      </c>
      <c r="C222" s="116" t="s">
        <v>83</v>
      </c>
      <c r="D222" s="116" t="s">
        <v>82</v>
      </c>
      <c r="E222" s="225" t="s">
        <v>81</v>
      </c>
      <c r="F222" s="226"/>
      <c r="T222" s="8" t="s">
        <v>93</v>
      </c>
      <c r="U222" s="8" t="s">
        <v>95</v>
      </c>
      <c r="V222" s="8" t="s">
        <v>94</v>
      </c>
    </row>
    <row r="223" spans="1:22" x14ac:dyDescent="0.2">
      <c r="A223" s="9">
        <v>41548</v>
      </c>
      <c r="B223" s="146">
        <v>649</v>
      </c>
      <c r="C223" s="73">
        <v>351</v>
      </c>
      <c r="D223" s="73">
        <v>269</v>
      </c>
      <c r="E223" s="222">
        <f t="shared" ref="E223:E230" si="8">D223/B223</f>
        <v>0.41448382126348227</v>
      </c>
      <c r="F223" s="222"/>
      <c r="T223" s="38">
        <f>(B223-'FY2013'!B223)/'FY2013'!B223</f>
        <v>4.8465266558966075E-2</v>
      </c>
      <c r="U223" s="38">
        <f>(C223-'FY2013'!C223)/'FY2013'!C223</f>
        <v>0.23157894736842105</v>
      </c>
      <c r="V223" s="38">
        <f>(D223-'FY2013'!D223)/'FY2013'!D223</f>
        <v>0.20089285714285715</v>
      </c>
    </row>
    <row r="224" spans="1:22" x14ac:dyDescent="0.2">
      <c r="A224" s="9">
        <v>41579</v>
      </c>
      <c r="B224" s="146">
        <v>651</v>
      </c>
      <c r="C224" s="73">
        <v>359</v>
      </c>
      <c r="D224" s="73">
        <v>270</v>
      </c>
      <c r="E224" s="222">
        <f t="shared" si="8"/>
        <v>0.41474654377880182</v>
      </c>
      <c r="F224" s="222"/>
      <c r="T224" s="38">
        <f>(B224-'FY2013'!B224)/'FY2013'!B224</f>
        <v>5.3398058252427182E-2</v>
      </c>
      <c r="U224" s="38">
        <f>(C224-'FY2013'!C224)/'FY2013'!C224</f>
        <v>0.22945205479452055</v>
      </c>
      <c r="V224" s="38">
        <f>(D224-'FY2013'!D224)/'FY2013'!D224</f>
        <v>0.125</v>
      </c>
    </row>
    <row r="225" spans="1:22" x14ac:dyDescent="0.2">
      <c r="A225" s="9">
        <v>41609</v>
      </c>
      <c r="B225" s="146">
        <v>651</v>
      </c>
      <c r="C225" s="73">
        <v>359</v>
      </c>
      <c r="D225" s="73">
        <v>269</v>
      </c>
      <c r="E225" s="222">
        <f t="shared" si="8"/>
        <v>0.41321044546850999</v>
      </c>
      <c r="F225" s="222"/>
      <c r="T225" s="38">
        <f>(B225-'FY2013'!B225)/'FY2013'!B225</f>
        <v>3.0063291139240507E-2</v>
      </c>
      <c r="U225" s="38">
        <f>(C225-'FY2013'!C225)/'FY2013'!C225</f>
        <v>0.20469798657718122</v>
      </c>
      <c r="V225" s="38">
        <f>(D225-'FY2013'!D225)/'FY2013'!D225</f>
        <v>0.10699588477366255</v>
      </c>
    </row>
    <row r="226" spans="1:22" x14ac:dyDescent="0.2">
      <c r="A226" s="9">
        <v>41640</v>
      </c>
      <c r="B226" s="146">
        <v>663</v>
      </c>
      <c r="C226" s="73">
        <v>361</v>
      </c>
      <c r="D226" s="73">
        <v>268</v>
      </c>
      <c r="E226" s="222">
        <f t="shared" si="8"/>
        <v>0.40422322775263952</v>
      </c>
      <c r="F226" s="222"/>
      <c r="T226" s="38">
        <f>(B226-'FY2013'!B226)/'FY2013'!B226</f>
        <v>5.2380952380952382E-2</v>
      </c>
      <c r="U226" s="38">
        <f>(C226-'FY2013'!C226)/'FY2013'!C226</f>
        <v>0.21140939597315436</v>
      </c>
      <c r="V226" s="38">
        <f>(D226-'FY2013'!D226)/'FY2013'!D226</f>
        <v>0.11666666666666667</v>
      </c>
    </row>
    <row r="227" spans="1:22" x14ac:dyDescent="0.2">
      <c r="A227" s="9">
        <v>41671</v>
      </c>
      <c r="B227" s="58">
        <v>618</v>
      </c>
      <c r="C227" s="73">
        <v>355</v>
      </c>
      <c r="D227" s="73">
        <v>276</v>
      </c>
      <c r="E227" s="222">
        <f t="shared" si="8"/>
        <v>0.44660194174757284</v>
      </c>
      <c r="F227" s="222"/>
      <c r="T227" s="38">
        <f>(B227-'FY2013'!B227)/'FY2013'!B227</f>
        <v>-2.2151898734177215E-2</v>
      </c>
      <c r="U227" s="38">
        <f>(C227-'FY2013'!C227)/'FY2013'!C227</f>
        <v>0.17549668874172186</v>
      </c>
      <c r="V227" s="38">
        <f>(D227-'FY2013'!D227)/'FY2013'!D227</f>
        <v>0.15</v>
      </c>
    </row>
    <row r="228" spans="1:22" x14ac:dyDescent="0.2">
      <c r="A228" s="9">
        <v>41699</v>
      </c>
      <c r="B228" s="58">
        <v>650</v>
      </c>
      <c r="C228" s="73">
        <v>363</v>
      </c>
      <c r="D228" s="73">
        <v>274</v>
      </c>
      <c r="E228" s="222">
        <f t="shared" si="8"/>
        <v>0.42153846153846153</v>
      </c>
      <c r="F228" s="222"/>
      <c r="T228" s="38">
        <f>(B228-'FY2013'!B228)/'FY2013'!B228</f>
        <v>1.7214397496087636E-2</v>
      </c>
      <c r="U228" s="38">
        <f>(C228-'FY2013'!C228)/'FY2013'!C228</f>
        <v>0.16720257234726688</v>
      </c>
      <c r="V228" s="38">
        <f>(D228-'FY2013'!D228)/'FY2013'!D228</f>
        <v>0.10483870967741936</v>
      </c>
    </row>
    <row r="229" spans="1:22" x14ac:dyDescent="0.2">
      <c r="A229" s="9">
        <v>41730</v>
      </c>
      <c r="B229" s="58">
        <v>652</v>
      </c>
      <c r="C229" s="73">
        <v>367</v>
      </c>
      <c r="D229" s="73">
        <v>280</v>
      </c>
      <c r="E229" s="222">
        <f t="shared" si="8"/>
        <v>0.42944785276073622</v>
      </c>
      <c r="F229" s="222"/>
      <c r="T229" s="38">
        <f>(B229-'FY2013'!B229)/'FY2013'!B229</f>
        <v>2.1943573667711599E-2</v>
      </c>
      <c r="U229" s="38">
        <f>(C229-'FY2013'!C229)/'FY2013'!C229</f>
        <v>0.16507936507936508</v>
      </c>
      <c r="V229" s="38">
        <f>(D229-'FY2013'!D229)/'FY2013'!D229</f>
        <v>0.12449799196787148</v>
      </c>
    </row>
    <row r="230" spans="1:22" x14ac:dyDescent="0.2">
      <c r="A230" s="9">
        <v>41760</v>
      </c>
      <c r="B230" s="58">
        <v>651</v>
      </c>
      <c r="C230" s="73">
        <v>368</v>
      </c>
      <c r="D230" s="73">
        <v>287</v>
      </c>
      <c r="E230" s="222">
        <f t="shared" si="8"/>
        <v>0.44086021505376344</v>
      </c>
      <c r="F230" s="222"/>
      <c r="T230" s="38">
        <f>(B230-'FY2013'!B230)/'FY2013'!B230</f>
        <v>2.037617554858934E-2</v>
      </c>
      <c r="U230" s="38">
        <f>(C230-'FY2013'!C230)/'FY2013'!C230</f>
        <v>0.13931888544891641</v>
      </c>
      <c r="V230" s="38">
        <f>(D230-'FY2013'!D230)/'FY2013'!D230</f>
        <v>0.12109375</v>
      </c>
    </row>
    <row r="231" spans="1:22" x14ac:dyDescent="0.2">
      <c r="A231" s="9">
        <v>41791</v>
      </c>
      <c r="B231" s="58">
        <v>661</v>
      </c>
      <c r="C231" s="73">
        <v>372</v>
      </c>
      <c r="D231" s="73">
        <v>287</v>
      </c>
      <c r="E231" s="222">
        <f>D231/B231</f>
        <v>0.4341906202723147</v>
      </c>
      <c r="F231" s="222"/>
      <c r="T231" s="38">
        <f>(B231-'FY2013'!B231)/'FY2013'!B231</f>
        <v>2.4806201550387597E-2</v>
      </c>
      <c r="U231" s="38">
        <f>(C231-'FY2013'!C231)/'FY2013'!C231</f>
        <v>7.5144508670520235E-2</v>
      </c>
      <c r="V231" s="38">
        <f>(D231-'FY2013'!D231)/'FY2013'!D231</f>
        <v>7.0895522388059698E-2</v>
      </c>
    </row>
    <row r="232" spans="1:22" x14ac:dyDescent="0.2">
      <c r="A232" s="9">
        <v>41821</v>
      </c>
      <c r="B232" s="58">
        <v>666</v>
      </c>
      <c r="C232" s="73">
        <v>372</v>
      </c>
      <c r="D232" s="73">
        <v>285</v>
      </c>
      <c r="E232" s="222">
        <f>D232/B232</f>
        <v>0.42792792792792794</v>
      </c>
      <c r="F232" s="222"/>
      <c r="T232" s="38">
        <f>(B232-'FY2013'!B232)/'FY2013'!B232</f>
        <v>4.8818897637795275E-2</v>
      </c>
      <c r="U232" s="38">
        <f>(C232-'FY2013'!C232)/'FY2013'!C232</f>
        <v>6.5902578796561598E-2</v>
      </c>
      <c r="V232" s="38">
        <f>(D232-'FY2013'!D232)/'FY2013'!D232</f>
        <v>4.0145985401459854E-2</v>
      </c>
    </row>
    <row r="233" spans="1:22" x14ac:dyDescent="0.2">
      <c r="A233" s="9">
        <v>41852</v>
      </c>
      <c r="B233" s="58">
        <v>670</v>
      </c>
      <c r="C233" s="73">
        <v>373</v>
      </c>
      <c r="D233" s="73">
        <v>285</v>
      </c>
      <c r="E233" s="222">
        <f>D233/B233</f>
        <v>0.42537313432835822</v>
      </c>
      <c r="F233" s="222"/>
      <c r="T233" s="38">
        <f>(B233-'FY2013'!B233)/'FY2013'!B233</f>
        <v>3.2357473035439135E-2</v>
      </c>
      <c r="U233" s="38">
        <f>(C233-'FY2013'!C233)/'FY2013'!C233</f>
        <v>6.5714285714285711E-2</v>
      </c>
      <c r="V233" s="38">
        <f>(D233-'FY2013'!D233)/'FY2013'!D233</f>
        <v>3.2608695652173912E-2</v>
      </c>
    </row>
    <row r="234" spans="1:22" x14ac:dyDescent="0.2">
      <c r="A234" s="9">
        <v>41883</v>
      </c>
      <c r="B234" s="58">
        <v>680</v>
      </c>
      <c r="C234" s="73">
        <v>373</v>
      </c>
      <c r="D234" s="73">
        <v>277</v>
      </c>
      <c r="E234" s="222">
        <f>D234/B234</f>
        <v>0.40735294117647058</v>
      </c>
      <c r="F234" s="222"/>
      <c r="T234" s="38">
        <f>(B234-'FY2013'!B234)/'FY2013'!B234</f>
        <v>4.7765793528505393E-2</v>
      </c>
      <c r="U234" s="38">
        <f>(C234-'FY2013'!C234)/'FY2013'!C234</f>
        <v>6.5714285714285711E-2</v>
      </c>
      <c r="V234" s="38">
        <f>(D234-'FY2013'!D234)/'FY2013'!D234</f>
        <v>7.2727272727272727E-3</v>
      </c>
    </row>
    <row r="235" spans="1:22" x14ac:dyDescent="0.2">
      <c r="A235" s="130"/>
      <c r="B235" s="131"/>
      <c r="C235" s="132"/>
      <c r="D235" s="132"/>
      <c r="E235" s="145"/>
      <c r="F235" s="145"/>
      <c r="T235" s="50"/>
      <c r="U235" s="50"/>
      <c r="V235" s="50"/>
    </row>
    <row r="237" spans="1:22" x14ac:dyDescent="0.2">
      <c r="A237" s="5"/>
      <c r="B237" s="208" t="s">
        <v>104</v>
      </c>
      <c r="C237" s="224"/>
      <c r="D237" s="224"/>
      <c r="E237" s="224"/>
      <c r="F237" s="224"/>
      <c r="G237" s="224"/>
      <c r="H237" s="224"/>
      <c r="I237" s="224"/>
      <c r="J237" s="224"/>
      <c r="K237" s="224"/>
      <c r="L237" s="138"/>
      <c r="M237" s="138"/>
      <c r="N237" s="138"/>
    </row>
    <row r="238" spans="1:22" ht="36" x14ac:dyDescent="0.2">
      <c r="A238" s="144" t="s">
        <v>1</v>
      </c>
      <c r="B238" s="115" t="s">
        <v>105</v>
      </c>
      <c r="C238" s="116" t="s">
        <v>106</v>
      </c>
      <c r="D238" s="116" t="s">
        <v>107</v>
      </c>
      <c r="E238" s="228" t="s">
        <v>108</v>
      </c>
      <c r="F238" s="229"/>
      <c r="G238" s="139" t="s">
        <v>109</v>
      </c>
      <c r="H238" s="139" t="s">
        <v>110</v>
      </c>
      <c r="I238" s="115" t="s">
        <v>111</v>
      </c>
      <c r="J238" s="139" t="s">
        <v>112</v>
      </c>
      <c r="K238" s="139" t="s">
        <v>113</v>
      </c>
    </row>
    <row r="239" spans="1:22" x14ac:dyDescent="0.2">
      <c r="A239" s="9">
        <v>41548</v>
      </c>
      <c r="B239" s="146">
        <v>2</v>
      </c>
      <c r="C239" s="73">
        <v>1</v>
      </c>
      <c r="D239" s="137">
        <f t="shared" ref="D239:D250" si="9">C239/B239</f>
        <v>0.5</v>
      </c>
      <c r="E239" s="227">
        <v>4</v>
      </c>
      <c r="F239" s="224"/>
      <c r="G239" s="73">
        <v>3</v>
      </c>
      <c r="H239" s="137">
        <f t="shared" ref="H239:H250" si="10">G239/E239</f>
        <v>0.75</v>
      </c>
      <c r="I239" s="146">
        <v>28</v>
      </c>
      <c r="J239" s="73">
        <v>24</v>
      </c>
      <c r="K239" s="137">
        <f t="shared" ref="K239:K250" si="11">J239/I239</f>
        <v>0.8571428571428571</v>
      </c>
    </row>
    <row r="240" spans="1:22" x14ac:dyDescent="0.2">
      <c r="A240" s="9">
        <v>41579</v>
      </c>
      <c r="B240" s="146">
        <v>2</v>
      </c>
      <c r="C240" s="73">
        <v>1</v>
      </c>
      <c r="D240" s="137">
        <f t="shared" si="9"/>
        <v>0.5</v>
      </c>
      <c r="E240" s="227">
        <v>4</v>
      </c>
      <c r="F240" s="224"/>
      <c r="G240" s="73">
        <v>3</v>
      </c>
      <c r="H240" s="137">
        <f t="shared" si="10"/>
        <v>0.75</v>
      </c>
      <c r="I240" s="146">
        <v>28</v>
      </c>
      <c r="J240" s="73">
        <v>22</v>
      </c>
      <c r="K240" s="137">
        <f t="shared" si="11"/>
        <v>0.7857142857142857</v>
      </c>
    </row>
    <row r="241" spans="1:11" x14ac:dyDescent="0.2">
      <c r="A241" s="9">
        <v>41609</v>
      </c>
      <c r="B241" s="147">
        <v>2</v>
      </c>
      <c r="C241" s="73">
        <v>1</v>
      </c>
      <c r="D241" s="137">
        <f t="shared" si="9"/>
        <v>0.5</v>
      </c>
      <c r="E241" s="227">
        <v>4</v>
      </c>
      <c r="F241" s="224"/>
      <c r="G241" s="73">
        <v>3</v>
      </c>
      <c r="H241" s="137">
        <f t="shared" si="10"/>
        <v>0.75</v>
      </c>
      <c r="I241" s="147">
        <v>28</v>
      </c>
      <c r="J241" s="73">
        <v>22</v>
      </c>
      <c r="K241" s="137">
        <f t="shared" si="11"/>
        <v>0.7857142857142857</v>
      </c>
    </row>
    <row r="242" spans="1:11" x14ac:dyDescent="0.2">
      <c r="A242" s="9">
        <v>41640</v>
      </c>
      <c r="B242" s="146">
        <v>2</v>
      </c>
      <c r="C242" s="73">
        <v>1</v>
      </c>
      <c r="D242" s="137">
        <f t="shared" si="9"/>
        <v>0.5</v>
      </c>
      <c r="E242" s="227">
        <v>4</v>
      </c>
      <c r="F242" s="224"/>
      <c r="G242" s="73">
        <v>3</v>
      </c>
      <c r="H242" s="137">
        <f t="shared" si="10"/>
        <v>0.75</v>
      </c>
      <c r="I242" s="146">
        <v>28</v>
      </c>
      <c r="J242" s="73">
        <v>23</v>
      </c>
      <c r="K242" s="137">
        <f t="shared" si="11"/>
        <v>0.8214285714285714</v>
      </c>
    </row>
    <row r="243" spans="1:11" x14ac:dyDescent="0.2">
      <c r="A243" s="9">
        <v>41671</v>
      </c>
      <c r="B243" s="58">
        <v>2</v>
      </c>
      <c r="C243" s="73">
        <v>1</v>
      </c>
      <c r="D243" s="137">
        <f t="shared" si="9"/>
        <v>0.5</v>
      </c>
      <c r="E243" s="227">
        <v>4</v>
      </c>
      <c r="F243" s="224"/>
      <c r="G243" s="73">
        <v>3</v>
      </c>
      <c r="H243" s="137">
        <f t="shared" si="10"/>
        <v>0.75</v>
      </c>
      <c r="I243" s="58">
        <v>28</v>
      </c>
      <c r="J243" s="73">
        <v>20</v>
      </c>
      <c r="K243" s="137">
        <f t="shared" si="11"/>
        <v>0.7142857142857143</v>
      </c>
    </row>
    <row r="244" spans="1:11" x14ac:dyDescent="0.2">
      <c r="A244" s="9">
        <v>41699</v>
      </c>
      <c r="B244" s="58">
        <v>2</v>
      </c>
      <c r="C244" s="73">
        <v>1</v>
      </c>
      <c r="D244" s="137">
        <f t="shared" si="9"/>
        <v>0.5</v>
      </c>
      <c r="E244" s="227">
        <v>4</v>
      </c>
      <c r="F244" s="224"/>
      <c r="G244" s="73">
        <v>4</v>
      </c>
      <c r="H244" s="137">
        <f t="shared" si="10"/>
        <v>1</v>
      </c>
      <c r="I244" s="58">
        <v>28</v>
      </c>
      <c r="J244" s="73">
        <v>19</v>
      </c>
      <c r="K244" s="137">
        <f t="shared" si="11"/>
        <v>0.6785714285714286</v>
      </c>
    </row>
    <row r="245" spans="1:11" x14ac:dyDescent="0.2">
      <c r="A245" s="9">
        <v>41730</v>
      </c>
      <c r="B245" s="58">
        <v>2</v>
      </c>
      <c r="C245" s="73">
        <v>1</v>
      </c>
      <c r="D245" s="137">
        <f t="shared" si="9"/>
        <v>0.5</v>
      </c>
      <c r="E245" s="227">
        <v>4</v>
      </c>
      <c r="F245" s="224"/>
      <c r="G245" s="73">
        <v>4</v>
      </c>
      <c r="H245" s="137">
        <f t="shared" si="10"/>
        <v>1</v>
      </c>
      <c r="I245" s="58">
        <v>28</v>
      </c>
      <c r="J245" s="73">
        <v>19</v>
      </c>
      <c r="K245" s="137">
        <f t="shared" si="11"/>
        <v>0.6785714285714286</v>
      </c>
    </row>
    <row r="246" spans="1:11" x14ac:dyDescent="0.2">
      <c r="A246" s="9">
        <v>41760</v>
      </c>
      <c r="B246" s="58">
        <v>2</v>
      </c>
      <c r="C246" s="73">
        <v>2</v>
      </c>
      <c r="D246" s="137">
        <f t="shared" si="9"/>
        <v>1</v>
      </c>
      <c r="E246" s="227">
        <v>4</v>
      </c>
      <c r="F246" s="224"/>
      <c r="G246" s="73">
        <v>4</v>
      </c>
      <c r="H246" s="137">
        <f t="shared" si="10"/>
        <v>1</v>
      </c>
      <c r="I246" s="58">
        <v>28</v>
      </c>
      <c r="J246" s="73">
        <v>19</v>
      </c>
      <c r="K246" s="137">
        <f t="shared" si="11"/>
        <v>0.6785714285714286</v>
      </c>
    </row>
    <row r="247" spans="1:11" x14ac:dyDescent="0.2">
      <c r="A247" s="9">
        <v>41791</v>
      </c>
      <c r="B247" s="58">
        <v>2</v>
      </c>
      <c r="C247" s="73">
        <v>2</v>
      </c>
      <c r="D247" s="137">
        <f t="shared" si="9"/>
        <v>1</v>
      </c>
      <c r="E247" s="227">
        <v>4</v>
      </c>
      <c r="F247" s="224"/>
      <c r="G247" s="73">
        <v>4</v>
      </c>
      <c r="H247" s="137">
        <f t="shared" si="10"/>
        <v>1</v>
      </c>
      <c r="I247" s="58">
        <v>28</v>
      </c>
      <c r="J247" s="73">
        <v>19</v>
      </c>
      <c r="K247" s="137">
        <f t="shared" si="11"/>
        <v>0.6785714285714286</v>
      </c>
    </row>
    <row r="248" spans="1:11" x14ac:dyDescent="0.2">
      <c r="A248" s="9">
        <v>41821</v>
      </c>
      <c r="B248" s="58">
        <v>2</v>
      </c>
      <c r="C248" s="73">
        <v>2</v>
      </c>
      <c r="D248" s="137">
        <f t="shared" si="9"/>
        <v>1</v>
      </c>
      <c r="E248" s="227">
        <v>4</v>
      </c>
      <c r="F248" s="224"/>
      <c r="G248" s="73">
        <v>4</v>
      </c>
      <c r="H248" s="137">
        <f t="shared" si="10"/>
        <v>1</v>
      </c>
      <c r="I248" s="58">
        <v>28</v>
      </c>
      <c r="J248" s="73">
        <v>21</v>
      </c>
      <c r="K248" s="137">
        <f t="shared" si="11"/>
        <v>0.75</v>
      </c>
    </row>
    <row r="249" spans="1:11" x14ac:dyDescent="0.2">
      <c r="A249" s="9">
        <v>41852</v>
      </c>
      <c r="B249" s="58">
        <v>2</v>
      </c>
      <c r="C249" s="73">
        <v>2</v>
      </c>
      <c r="D249" s="137">
        <f t="shared" si="9"/>
        <v>1</v>
      </c>
      <c r="E249" s="227">
        <v>4</v>
      </c>
      <c r="F249" s="224"/>
      <c r="G249" s="73">
        <v>4</v>
      </c>
      <c r="H249" s="137">
        <f t="shared" si="10"/>
        <v>1</v>
      </c>
      <c r="I249" s="58">
        <v>28</v>
      </c>
      <c r="J249" s="73">
        <v>22</v>
      </c>
      <c r="K249" s="137">
        <f t="shared" si="11"/>
        <v>0.7857142857142857</v>
      </c>
    </row>
    <row r="250" spans="1:11" x14ac:dyDescent="0.2">
      <c r="A250" s="9">
        <v>41883</v>
      </c>
      <c r="B250" s="58">
        <v>2</v>
      </c>
      <c r="C250" s="73">
        <v>2</v>
      </c>
      <c r="D250" s="137">
        <f t="shared" si="9"/>
        <v>1</v>
      </c>
      <c r="E250" s="227">
        <v>4</v>
      </c>
      <c r="F250" s="224"/>
      <c r="G250" s="73">
        <v>4</v>
      </c>
      <c r="H250" s="137">
        <f t="shared" si="10"/>
        <v>1</v>
      </c>
      <c r="I250" s="58">
        <v>28</v>
      </c>
      <c r="J250" s="73">
        <v>22</v>
      </c>
      <c r="K250" s="137">
        <f t="shared" si="11"/>
        <v>0.7857142857142857</v>
      </c>
    </row>
  </sheetData>
  <mergeCells count="75">
    <mergeCell ref="B23:D23"/>
    <mergeCell ref="T23:V23"/>
    <mergeCell ref="A1:V1"/>
    <mergeCell ref="A2:V2"/>
    <mergeCell ref="A5:V5"/>
    <mergeCell ref="B7:D7"/>
    <mergeCell ref="T7:V7"/>
    <mergeCell ref="B40:D40"/>
    <mergeCell ref="T40:V40"/>
    <mergeCell ref="B57:D57"/>
    <mergeCell ref="T57:V57"/>
    <mergeCell ref="B74:D74"/>
    <mergeCell ref="T74:V74"/>
    <mergeCell ref="A179:V179"/>
    <mergeCell ref="B91:D91"/>
    <mergeCell ref="T91:V91"/>
    <mergeCell ref="B109:D109"/>
    <mergeCell ref="T109:V109"/>
    <mergeCell ref="B126:D126"/>
    <mergeCell ref="T126:V126"/>
    <mergeCell ref="A143:V143"/>
    <mergeCell ref="B145:D145"/>
    <mergeCell ref="T145:V145"/>
    <mergeCell ref="B162:D162"/>
    <mergeCell ref="T162:V162"/>
    <mergeCell ref="B181:D181"/>
    <mergeCell ref="T181:V181"/>
    <mergeCell ref="B197:C197"/>
    <mergeCell ref="A199:V199"/>
    <mergeCell ref="B201:D201"/>
    <mergeCell ref="T201:V201"/>
    <mergeCell ref="E213:F213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28:F228"/>
    <mergeCell ref="E214:F214"/>
    <mergeCell ref="E215:F215"/>
    <mergeCell ref="A219:V219"/>
    <mergeCell ref="B221:F221"/>
    <mergeCell ref="T221:V221"/>
    <mergeCell ref="E222:F222"/>
    <mergeCell ref="E223:F223"/>
    <mergeCell ref="E224:F224"/>
    <mergeCell ref="E225:F225"/>
    <mergeCell ref="E226:F226"/>
    <mergeCell ref="E227:F227"/>
    <mergeCell ref="E242:F242"/>
    <mergeCell ref="E229:F229"/>
    <mergeCell ref="E230:F230"/>
    <mergeCell ref="E231:F231"/>
    <mergeCell ref="E232:F232"/>
    <mergeCell ref="E233:F233"/>
    <mergeCell ref="E234:F234"/>
    <mergeCell ref="B237:K237"/>
    <mergeCell ref="E238:F238"/>
    <mergeCell ref="E239:F239"/>
    <mergeCell ref="E240:F240"/>
    <mergeCell ref="E241:F241"/>
    <mergeCell ref="E249:F249"/>
    <mergeCell ref="E250:F250"/>
    <mergeCell ref="E243:F243"/>
    <mergeCell ref="E244:F244"/>
    <mergeCell ref="E245:F245"/>
    <mergeCell ref="E246:F246"/>
    <mergeCell ref="E247:F247"/>
    <mergeCell ref="E248:F248"/>
  </mergeCells>
  <printOptions horizontalCentered="1" verticalCentered="1"/>
  <pageMargins left="0.16" right="0.17" top="0.54" bottom="0.56000000000000005" header="0.5" footer="0.5"/>
  <pageSetup scale="58" fitToHeight="8" orientation="landscape" r:id="rId1"/>
  <headerFooter alignWithMargins="0">
    <oddFooter>&amp;Rpage &amp;P</oddFooter>
  </headerFooter>
  <rowBreaks count="5" manualBreakCount="5">
    <brk id="55" max="21" man="1"/>
    <brk id="107" max="21" man="1"/>
    <brk id="142" max="21" man="1"/>
    <brk id="177" max="21" man="1"/>
    <brk id="218" max="2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0"/>
  <sheetViews>
    <sheetView view="pageBreakPreview" topLeftCell="A10" zoomScale="90" zoomScaleNormal="100" zoomScaleSheetLayoutView="90" workbookViewId="0">
      <selection activeCell="B123" sqref="B123"/>
    </sheetView>
  </sheetViews>
  <sheetFormatPr defaultRowHeight="12.75" x14ac:dyDescent="0.2"/>
  <cols>
    <col min="1" max="1" width="15" customWidth="1"/>
    <col min="2" max="2" width="14.7109375" bestFit="1" customWidth="1"/>
    <col min="3" max="3" width="14.5703125" bestFit="1" customWidth="1"/>
    <col min="4" max="4" width="15" customWidth="1"/>
    <col min="5" max="5" width="3.28515625" customWidth="1"/>
    <col min="6" max="6" width="7.42578125" customWidth="1"/>
    <col min="19" max="19" width="8" customWidth="1"/>
    <col min="20" max="20" width="8.42578125" customWidth="1"/>
    <col min="21" max="21" width="8.42578125" bestFit="1" customWidth="1"/>
    <col min="22" max="22" width="8.42578125" customWidth="1"/>
  </cols>
  <sheetData>
    <row r="1" spans="1:22" ht="18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5"/>
      <c r="T1" s="205"/>
      <c r="U1" s="205"/>
      <c r="V1" s="205"/>
    </row>
    <row r="2" spans="1:22" ht="15.75" x14ac:dyDescent="0.25">
      <c r="A2" s="206" t="s">
        <v>92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5"/>
      <c r="T2" s="205"/>
      <c r="U2" s="205"/>
      <c r="V2" s="205"/>
    </row>
    <row r="3" spans="1:22" ht="15.75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3"/>
      <c r="T3" s="123"/>
      <c r="U3" s="123"/>
      <c r="V3" s="123"/>
    </row>
    <row r="4" spans="1:22" ht="15.75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3"/>
      <c r="T4" s="123"/>
      <c r="U4" s="123"/>
      <c r="V4" s="123"/>
    </row>
    <row r="5" spans="1:22" ht="15.75" x14ac:dyDescent="0.25">
      <c r="A5" s="207" t="s">
        <v>12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5"/>
      <c r="T5" s="205"/>
      <c r="U5" s="205"/>
      <c r="V5" s="205"/>
    </row>
    <row r="7" spans="1:22" x14ac:dyDescent="0.2">
      <c r="B7" s="203" t="s">
        <v>5</v>
      </c>
      <c r="C7" s="203"/>
      <c r="D7" s="203"/>
      <c r="F7" s="16"/>
      <c r="T7" s="203" t="s">
        <v>5</v>
      </c>
      <c r="U7" s="203"/>
      <c r="V7" s="203"/>
    </row>
    <row r="8" spans="1:22" s="4" customFormat="1" ht="36" x14ac:dyDescent="0.2">
      <c r="A8" s="8" t="s">
        <v>1</v>
      </c>
      <c r="B8" s="8" t="s">
        <v>2</v>
      </c>
      <c r="C8" s="8" t="s">
        <v>3</v>
      </c>
      <c r="D8" s="8" t="s">
        <v>4</v>
      </c>
      <c r="E8" s="3"/>
      <c r="F8" s="2"/>
      <c r="T8" s="8" t="s">
        <v>9</v>
      </c>
      <c r="U8" s="8" t="s">
        <v>10</v>
      </c>
      <c r="V8" s="8" t="s">
        <v>11</v>
      </c>
    </row>
    <row r="9" spans="1:22" s="5" customFormat="1" ht="12" x14ac:dyDescent="0.2">
      <c r="A9" s="9">
        <v>41183</v>
      </c>
      <c r="B9" s="47">
        <v>680250064.61000001</v>
      </c>
      <c r="C9" s="47">
        <v>220970227</v>
      </c>
      <c r="D9" s="48">
        <f t="shared" ref="D9:D20" si="0">SUM(B9:C9)</f>
        <v>901220291.61000001</v>
      </c>
      <c r="T9" s="38">
        <f>(B9-'FY2012'!B17)/'FY2012'!B17</f>
        <v>8.2428559765599471E-2</v>
      </c>
      <c r="U9" s="38">
        <f>(C9-'FY2012'!C17)/'FY2012'!C17</f>
        <v>4.5147937021891543E-2</v>
      </c>
      <c r="V9" s="38">
        <f>(D9-'FY2012'!D17)/'FY2012'!D17</f>
        <v>7.3043746862091932E-2</v>
      </c>
    </row>
    <row r="10" spans="1:22" s="5" customFormat="1" ht="12" x14ac:dyDescent="0.2">
      <c r="A10" s="9">
        <v>41214</v>
      </c>
      <c r="B10" s="47">
        <v>650197903.55999994</v>
      </c>
      <c r="C10" s="47">
        <v>232085939.86000001</v>
      </c>
      <c r="D10" s="48">
        <f t="shared" si="0"/>
        <v>882283843.41999996</v>
      </c>
      <c r="T10" s="38">
        <f>(B10-'FY2012'!B18)/'FY2012'!B18</f>
        <v>4.5906581141185676E-2</v>
      </c>
      <c r="U10" s="38">
        <f>(C10-'FY2012'!C18)/'FY2012'!C18</f>
        <v>0.11725476691063097</v>
      </c>
      <c r="V10" s="38">
        <f>(D10-'FY2012'!D18)/'FY2012'!D18</f>
        <v>6.377645958207824E-2</v>
      </c>
    </row>
    <row r="11" spans="1:22" s="5" customFormat="1" ht="12" x14ac:dyDescent="0.2">
      <c r="A11" s="9">
        <v>41244</v>
      </c>
      <c r="B11" s="47">
        <v>662760523.16999996</v>
      </c>
      <c r="C11" s="47">
        <v>242619302.84999999</v>
      </c>
      <c r="D11" s="48">
        <f t="shared" si="0"/>
        <v>905379826.01999998</v>
      </c>
      <c r="T11" s="38">
        <f>(B11-'FY2012'!B19)/'FY2012'!B19</f>
        <v>9.0992881354916844E-3</v>
      </c>
      <c r="U11" s="38">
        <f>(C11-'FY2012'!C19)/'FY2012'!C19</f>
        <v>9.4315375895073994E-2</v>
      </c>
      <c r="V11" s="38">
        <f>(D11-'FY2012'!D19)/'FY2012'!D19</f>
        <v>3.060560943881473E-2</v>
      </c>
    </row>
    <row r="12" spans="1:22" s="5" customFormat="1" ht="12" x14ac:dyDescent="0.2">
      <c r="A12" s="9">
        <v>41275</v>
      </c>
      <c r="B12" s="47">
        <v>686130893</v>
      </c>
      <c r="C12" s="47">
        <v>218486100</v>
      </c>
      <c r="D12" s="48">
        <f t="shared" si="0"/>
        <v>904616993</v>
      </c>
      <c r="T12" s="38">
        <f>(B12-'FY2012'!B20)/'FY2012'!B20</f>
        <v>0.12357070833671187</v>
      </c>
      <c r="U12" s="38">
        <f>(C12-'FY2012'!C20)/'FY2012'!C20</f>
        <v>6.1208395950433411E-2</v>
      </c>
      <c r="V12" s="38">
        <f>(D12-'FY2012'!D20)/'FY2012'!D20</f>
        <v>0.10784680684777105</v>
      </c>
    </row>
    <row r="13" spans="1:22" s="5" customFormat="1" ht="12" x14ac:dyDescent="0.2">
      <c r="A13" s="9">
        <v>41306</v>
      </c>
      <c r="B13" s="47">
        <v>633172788.17999995</v>
      </c>
      <c r="C13" s="47">
        <v>224050133.69999999</v>
      </c>
      <c r="D13" s="48">
        <f t="shared" si="0"/>
        <v>857222921.87999988</v>
      </c>
      <c r="T13" s="38">
        <f>(B13-'FY2012'!B21)/'FY2012'!B21</f>
        <v>1.106010472998499E-2</v>
      </c>
      <c r="U13" s="38">
        <f>(C13-'FY2012'!C21)/'FY2012'!C21</f>
        <v>6.1202697409397537E-2</v>
      </c>
      <c r="V13" s="38">
        <f>(D13-'FY2012'!D21)/'FY2012'!D21</f>
        <v>2.3702625912243987E-2</v>
      </c>
    </row>
    <row r="14" spans="1:22" s="5" customFormat="1" ht="12" x14ac:dyDescent="0.2">
      <c r="A14" s="9">
        <v>41334</v>
      </c>
      <c r="B14" s="47">
        <v>727835334</v>
      </c>
      <c r="C14" s="47">
        <v>251065328</v>
      </c>
      <c r="D14" s="48">
        <f t="shared" si="0"/>
        <v>978900662</v>
      </c>
      <c r="T14" s="38">
        <f>(B14-'FY2012'!B22)/'FY2012'!B22</f>
        <v>5.2697274932670193E-2</v>
      </c>
      <c r="U14" s="38">
        <f>(C14-'FY2012'!C22)/'FY2012'!C22</f>
        <v>0.14085184169289142</v>
      </c>
      <c r="V14" s="38">
        <f>(D14-'FY2012'!D22)/'FY2012'!D22</f>
        <v>7.3981632206722853E-2</v>
      </c>
    </row>
    <row r="15" spans="1:22" s="5" customFormat="1" ht="12" x14ac:dyDescent="0.2">
      <c r="A15" s="9">
        <v>41365</v>
      </c>
      <c r="B15" s="47">
        <v>678295172</v>
      </c>
      <c r="C15" s="47">
        <v>217338571</v>
      </c>
      <c r="D15" s="48">
        <f t="shared" si="0"/>
        <v>895633743</v>
      </c>
      <c r="T15" s="38">
        <f>(B15-'FY2012'!B23)/'FY2012'!B23</f>
        <v>5.0817765242832408E-2</v>
      </c>
      <c r="U15" s="38">
        <f>(C15-'FY2012'!C23)/'FY2012'!C23</f>
        <v>2.9862994330173045E-2</v>
      </c>
      <c r="V15" s="38">
        <f>(D15-'FY2012'!D23)/'FY2012'!D23</f>
        <v>4.5654812324220716E-2</v>
      </c>
    </row>
    <row r="16" spans="1:22" s="5" customFormat="1" ht="12" x14ac:dyDescent="0.2">
      <c r="A16" s="9">
        <v>41395</v>
      </c>
      <c r="B16" s="47">
        <v>777536960</v>
      </c>
      <c r="C16" s="47">
        <v>233336216</v>
      </c>
      <c r="D16" s="48">
        <f t="shared" si="0"/>
        <v>1010873176</v>
      </c>
      <c r="T16" s="38">
        <f>(B16-'FY2012'!B24)/'FY2012'!B24</f>
        <v>8.282979847176597E-2</v>
      </c>
      <c r="U16" s="38">
        <f>(C16-'FY2012'!C24)/'FY2012'!C24</f>
        <v>6.6874759541783263E-2</v>
      </c>
      <c r="V16" s="38">
        <f>(D16-'FY2012'!D24)/'FY2012'!D24</f>
        <v>7.910473648011962E-2</v>
      </c>
    </row>
    <row r="17" spans="1:22" s="5" customFormat="1" ht="12" x14ac:dyDescent="0.2">
      <c r="A17" s="9">
        <v>41426</v>
      </c>
      <c r="B17" s="47">
        <v>755631799</v>
      </c>
      <c r="C17" s="47">
        <v>227933502</v>
      </c>
      <c r="D17" s="48">
        <f t="shared" si="0"/>
        <v>983565301</v>
      </c>
      <c r="T17" s="38">
        <f>(B17-'FY2012'!B25)/'FY2012'!B25</f>
        <v>1.7882733062365836E-2</v>
      </c>
      <c r="U17" s="38">
        <f>(C17-'FY2012'!C25)/'FY2012'!C25</f>
        <v>3.3685526420494986E-2</v>
      </c>
      <c r="V17" s="38">
        <f>(D17-'FY2012'!D25)/'FY2012'!D25</f>
        <v>2.1501740711382666E-2</v>
      </c>
    </row>
    <row r="18" spans="1:22" s="5" customFormat="1" ht="12" x14ac:dyDescent="0.2">
      <c r="A18" s="9">
        <v>41456</v>
      </c>
      <c r="B18" s="47">
        <v>754715702.38</v>
      </c>
      <c r="C18" s="47">
        <v>204194734.19</v>
      </c>
      <c r="D18" s="48">
        <f t="shared" si="0"/>
        <v>958910436.56999993</v>
      </c>
      <c r="T18" s="38">
        <f>(B18-'FY2012'!B26)/'FY2012'!B26</f>
        <v>6.1995911329044771E-2</v>
      </c>
      <c r="U18" s="38">
        <f>(C18-'FY2012'!C26)/'FY2012'!C26</f>
        <v>-3.5591696919932483E-2</v>
      </c>
      <c r="V18" s="38">
        <f>(D18-'FY2012'!D26)/'FY2012'!D26</f>
        <v>3.9595064566336068E-2</v>
      </c>
    </row>
    <row r="19" spans="1:22" s="5" customFormat="1" ht="12" x14ac:dyDescent="0.2">
      <c r="A19" s="9">
        <v>41487</v>
      </c>
      <c r="B19" s="47">
        <v>782383137</v>
      </c>
      <c r="C19" s="47">
        <v>234661180</v>
      </c>
      <c r="D19" s="48">
        <f t="shared" si="0"/>
        <v>1017044317</v>
      </c>
      <c r="T19" s="38">
        <f>(B19-'FY2012'!B27)/'FY2012'!B27</f>
        <v>3.7727186496065462E-2</v>
      </c>
      <c r="U19" s="38">
        <f>(C19-'FY2012'!C27)/'FY2012'!C27</f>
        <v>4.4524691771865674E-2</v>
      </c>
      <c r="V19" s="38">
        <f>(D19-'FY2012'!D27)/'FY2012'!D27</f>
        <v>3.9287701696837533E-2</v>
      </c>
    </row>
    <row r="20" spans="1:22" s="5" customFormat="1" ht="12" x14ac:dyDescent="0.2">
      <c r="A20" s="9">
        <v>41518</v>
      </c>
      <c r="B20" s="47">
        <v>713017868</v>
      </c>
      <c r="C20" s="47">
        <v>221974564</v>
      </c>
      <c r="D20" s="48">
        <f t="shared" si="0"/>
        <v>934992432</v>
      </c>
      <c r="T20" s="38">
        <f>(B20-'FY2012'!B28)/'FY2012'!B28</f>
        <v>4.1508923101283145E-2</v>
      </c>
      <c r="U20" s="38">
        <f>(C20-'FY2012'!C28)/'FY2012'!C28</f>
        <v>-3.6824726567030994E-2</v>
      </c>
      <c r="V20" s="38">
        <f>(D20-'FY2012'!D28)/'FY2012'!D28</f>
        <v>2.1780348950561506E-2</v>
      </c>
    </row>
    <row r="21" spans="1:22" s="6" customFormat="1" ht="12" x14ac:dyDescent="0.2">
      <c r="A21" s="108" t="s">
        <v>116</v>
      </c>
      <c r="B21" s="49">
        <f>SUM(B9:B20)</f>
        <v>8501928144.9000006</v>
      </c>
      <c r="C21" s="49">
        <f>SUM(C9:C20)</f>
        <v>2728715798.5999999</v>
      </c>
      <c r="D21" s="49">
        <f>SUM(D9:D20)</f>
        <v>11230643943.5</v>
      </c>
      <c r="T21" s="39">
        <f>AVERAGE(T9:T20)</f>
        <v>5.1460402895416785E-2</v>
      </c>
      <c r="U21" s="39">
        <f>AVERAGE(U9:U20)</f>
        <v>5.1876046954806028E-2</v>
      </c>
      <c r="V21" s="39">
        <f>AVERAGE(V9:V20)</f>
        <v>5.1656773798265061E-2</v>
      </c>
    </row>
    <row r="22" spans="1:22" s="5" customFormat="1" ht="12" x14ac:dyDescent="0.2"/>
    <row r="23" spans="1:22" s="5" customFormat="1" x14ac:dyDescent="0.2">
      <c r="B23" s="202" t="s">
        <v>6</v>
      </c>
      <c r="C23" s="202"/>
      <c r="D23" s="202"/>
      <c r="T23" s="203" t="s">
        <v>6</v>
      </c>
      <c r="U23" s="203"/>
      <c r="V23" s="203"/>
    </row>
    <row r="24" spans="1:22" s="5" customFormat="1" ht="36" x14ac:dyDescent="0.2">
      <c r="A24" s="124" t="s">
        <v>1</v>
      </c>
      <c r="B24" s="124" t="s">
        <v>2</v>
      </c>
      <c r="C24" s="124" t="s">
        <v>3</v>
      </c>
      <c r="D24" s="124" t="s">
        <v>4</v>
      </c>
      <c r="T24" s="8" t="s">
        <v>9</v>
      </c>
      <c r="U24" s="8" t="s">
        <v>10</v>
      </c>
      <c r="V24" s="8" t="s">
        <v>11</v>
      </c>
    </row>
    <row r="25" spans="1:22" s="5" customFormat="1" ht="12" x14ac:dyDescent="0.2">
      <c r="A25" s="9">
        <v>41183</v>
      </c>
      <c r="B25" s="13">
        <v>6255777</v>
      </c>
      <c r="C25" s="13">
        <v>3089139</v>
      </c>
      <c r="D25" s="33">
        <f t="shared" ref="D25:D36" si="1">SUM(B25:C25)</f>
        <v>9344916</v>
      </c>
      <c r="T25" s="38">
        <f>(B25-'FY2012'!B33)/'FY2012'!B33</f>
        <v>4.396873789593083E-2</v>
      </c>
      <c r="U25" s="38">
        <f>(C25-'FY2012'!C33)/'FY2012'!C33</f>
        <v>8.8713659340647719E-2</v>
      </c>
      <c r="V25" s="38">
        <f>(D25-'FY2012'!D33)/'FY2012'!D33</f>
        <v>5.8347463635329937E-2</v>
      </c>
    </row>
    <row r="26" spans="1:22" s="5" customFormat="1" ht="12" x14ac:dyDescent="0.2">
      <c r="A26" s="9">
        <v>41214</v>
      </c>
      <c r="B26" s="13">
        <v>5924106</v>
      </c>
      <c r="C26" s="13">
        <v>3129893</v>
      </c>
      <c r="D26" s="33">
        <f t="shared" si="1"/>
        <v>9053999</v>
      </c>
      <c r="T26" s="38">
        <f>(B26-'FY2012'!B34)/'FY2012'!B34</f>
        <v>4.1161341618889041E-2</v>
      </c>
      <c r="U26" s="38">
        <f>(C26-'FY2012'!C34)/'FY2012'!C34</f>
        <v>0.13064733398332726</v>
      </c>
      <c r="V26" s="38">
        <f>(D26-'FY2012'!D34)/'FY2012'!D34</f>
        <v>7.0448880385304891E-2</v>
      </c>
    </row>
    <row r="27" spans="1:22" s="5" customFormat="1" ht="12" x14ac:dyDescent="0.2">
      <c r="A27" s="9">
        <v>41244</v>
      </c>
      <c r="B27" s="13">
        <v>5873542</v>
      </c>
      <c r="C27" s="13">
        <v>3140413</v>
      </c>
      <c r="D27" s="33">
        <f t="shared" si="1"/>
        <v>9013955</v>
      </c>
      <c r="T27" s="38">
        <f>(B27-'FY2012'!B35)/'FY2012'!B35</f>
        <v>-7.716895131453131E-3</v>
      </c>
      <c r="U27" s="38">
        <f>(C27-'FY2012'!C35)/'FY2012'!C35</f>
        <v>9.958245871418292E-2</v>
      </c>
      <c r="V27" s="38">
        <f>(D27-'FY2012'!D35)/'FY2012'!D35</f>
        <v>2.720500044158412E-2</v>
      </c>
    </row>
    <row r="28" spans="1:22" s="5" customFormat="1" ht="12" x14ac:dyDescent="0.2">
      <c r="A28" s="9">
        <v>41275</v>
      </c>
      <c r="B28" s="13">
        <v>6345381</v>
      </c>
      <c r="C28" s="13">
        <v>3072954</v>
      </c>
      <c r="D28" s="33">
        <f t="shared" si="1"/>
        <v>9418335</v>
      </c>
      <c r="T28" s="38">
        <f>(B28-'FY2012'!B36)/'FY2012'!B36</f>
        <v>6.9186988143773678E-2</v>
      </c>
      <c r="U28" s="38">
        <f>(C28-'FY2012'!C36)/'FY2012'!C36</f>
        <v>0.10778677975657887</v>
      </c>
      <c r="V28" s="38">
        <f>(D28-'FY2012'!D36)/'FY2012'!D36</f>
        <v>8.1482030100829855E-2</v>
      </c>
    </row>
    <row r="29" spans="1:22" s="5" customFormat="1" ht="12" x14ac:dyDescent="0.2">
      <c r="A29" s="9">
        <v>41306</v>
      </c>
      <c r="B29" s="13">
        <v>6087695</v>
      </c>
      <c r="C29" s="13">
        <v>3030850</v>
      </c>
      <c r="D29" s="33">
        <f t="shared" si="1"/>
        <v>9118545</v>
      </c>
      <c r="T29" s="38">
        <f>(B29-'FY2012'!B37)/'FY2012'!B37</f>
        <v>-7.4073168246204012E-3</v>
      </c>
      <c r="U29" s="38">
        <f>(C29-'FY2012'!C37)/'FY2012'!C37</f>
        <v>7.9595525245120563E-2</v>
      </c>
      <c r="V29" s="38">
        <f>(D29-'FY2012'!D37)/'FY2012'!D37</f>
        <v>1.9912266838200333E-2</v>
      </c>
    </row>
    <row r="30" spans="1:22" s="5" customFormat="1" ht="12" x14ac:dyDescent="0.2">
      <c r="A30" s="9">
        <v>41334</v>
      </c>
      <c r="B30" s="13">
        <v>7012651</v>
      </c>
      <c r="C30" s="13">
        <v>3418073</v>
      </c>
      <c r="D30" s="33">
        <f t="shared" si="1"/>
        <v>10430724</v>
      </c>
      <c r="T30" s="38">
        <f>(B30-'FY2012'!B38)/'FY2012'!B38</f>
        <v>3.192778353306807E-2</v>
      </c>
      <c r="U30" s="38">
        <f>(C30-'FY2012'!C38)/'FY2012'!C38</f>
        <v>0.14070179361347454</v>
      </c>
      <c r="V30" s="38">
        <f>(D30-'FY2012'!D38)/'FY2012'!D38</f>
        <v>6.5213392979781237E-2</v>
      </c>
    </row>
    <row r="31" spans="1:22" s="5" customFormat="1" ht="12" x14ac:dyDescent="0.2">
      <c r="A31" s="9">
        <v>41365</v>
      </c>
      <c r="B31" s="13">
        <v>6664782</v>
      </c>
      <c r="C31" s="13">
        <v>3106396</v>
      </c>
      <c r="D31" s="33">
        <f t="shared" si="1"/>
        <v>9771178</v>
      </c>
      <c r="T31" s="38">
        <f>(B31-'FY2012'!B39)/'FY2012'!B39</f>
        <v>3.7021557994974211E-2</v>
      </c>
      <c r="U31" s="38">
        <f>(C31-'FY2012'!C39)/'FY2012'!C39</f>
        <v>7.4553655282439096E-2</v>
      </c>
      <c r="V31" s="38">
        <f>(D31-'FY2012'!D39)/'FY2012'!D39</f>
        <v>4.8666084764718752E-2</v>
      </c>
    </row>
    <row r="32" spans="1:22" s="5" customFormat="1" ht="12" x14ac:dyDescent="0.2">
      <c r="A32" s="9">
        <v>41395</v>
      </c>
      <c r="B32" s="13">
        <v>7237385</v>
      </c>
      <c r="C32" s="13">
        <v>3326812</v>
      </c>
      <c r="D32" s="33">
        <f t="shared" si="1"/>
        <v>10564197</v>
      </c>
      <c r="T32" s="38">
        <f>(B32-'FY2012'!B40)/'FY2012'!B40</f>
        <v>2.2470551320643243E-2</v>
      </c>
      <c r="U32" s="38">
        <f>(C32-'FY2012'!C40)/'FY2012'!C40</f>
        <v>9.2215513816798156E-2</v>
      </c>
      <c r="V32" s="38">
        <f>(D32-'FY2012'!D40)/'FY2012'!D40</f>
        <v>4.3453640715109973E-2</v>
      </c>
    </row>
    <row r="33" spans="1:22" s="5" customFormat="1" ht="12" x14ac:dyDescent="0.2">
      <c r="A33" s="9">
        <v>41426</v>
      </c>
      <c r="B33" s="13">
        <v>7177904</v>
      </c>
      <c r="C33" s="13">
        <v>3177057</v>
      </c>
      <c r="D33" s="33">
        <f t="shared" si="1"/>
        <v>10354961</v>
      </c>
      <c r="T33" s="38">
        <f>(B33-'FY2012'!B41)/'FY2012'!B41</f>
        <v>8.6558953479515914E-3</v>
      </c>
      <c r="U33" s="38">
        <f>(C33-'FY2012'!C41)/'FY2012'!C41</f>
        <v>5.2736618771378668E-2</v>
      </c>
      <c r="V33" s="38">
        <f>(D33-'FY2012'!D41)/'FY2012'!D41</f>
        <v>2.1782854488199326E-2</v>
      </c>
    </row>
    <row r="34" spans="1:22" s="5" customFormat="1" ht="12" x14ac:dyDescent="0.2">
      <c r="A34" s="9">
        <v>41456</v>
      </c>
      <c r="B34" s="13">
        <v>7031431</v>
      </c>
      <c r="C34" s="13">
        <v>2796040</v>
      </c>
      <c r="D34" s="33">
        <f t="shared" si="1"/>
        <v>9827471</v>
      </c>
      <c r="T34" s="38">
        <f>(B34-'FY2012'!B42)/'FY2012'!B42</f>
        <v>4.1118795676542991E-3</v>
      </c>
      <c r="U34" s="38">
        <f>(C34-'FY2012'!C42)/'FY2012'!C42</f>
        <v>-4.5742283114248543E-2</v>
      </c>
      <c r="V34" s="38">
        <f>(D34-'FY2012'!D42)/'FY2012'!D42</f>
        <v>-1.0594697013552703E-2</v>
      </c>
    </row>
    <row r="35" spans="1:22" s="5" customFormat="1" ht="12" x14ac:dyDescent="0.2">
      <c r="A35" s="9">
        <v>41487</v>
      </c>
      <c r="B35" s="13">
        <v>7164508</v>
      </c>
      <c r="C35" s="13">
        <v>3148673</v>
      </c>
      <c r="D35" s="33">
        <f t="shared" si="1"/>
        <v>10313181</v>
      </c>
      <c r="T35" s="38">
        <f>(B35-'FY2012'!B43)/'FY2012'!B43</f>
        <v>8.5725402795085084E-3</v>
      </c>
      <c r="U35" s="38">
        <f>(C35-'FY2012'!C43)/'FY2012'!C43</f>
        <v>5.99441964963221E-3</v>
      </c>
      <c r="V35" s="38">
        <f>(D35-'FY2012'!D43)/'FY2012'!D43</f>
        <v>7.7840251104140772E-3</v>
      </c>
    </row>
    <row r="36" spans="1:22" s="5" customFormat="1" ht="12" x14ac:dyDescent="0.2">
      <c r="A36" s="9">
        <v>41518</v>
      </c>
      <c r="B36" s="13">
        <v>6451839</v>
      </c>
      <c r="C36" s="13">
        <v>3089060</v>
      </c>
      <c r="D36" s="33">
        <f t="shared" si="1"/>
        <v>9540899</v>
      </c>
      <c r="T36" s="38">
        <f>(B36-'FY2012'!B44)/'FY2012'!B44</f>
        <v>1.7849409744621014E-2</v>
      </c>
      <c r="U36" s="38">
        <f>(C36-'FY2012'!C44)/'FY2012'!C44</f>
        <v>-9.0273322212241752E-3</v>
      </c>
      <c r="V36" s="38">
        <f>(D36-'FY2012'!D44)/'FY2012'!D44</f>
        <v>8.9893111145351937E-3</v>
      </c>
    </row>
    <row r="37" spans="1:22" s="6" customFormat="1" ht="12" x14ac:dyDescent="0.2">
      <c r="A37" s="108" t="s">
        <v>116</v>
      </c>
      <c r="B37" s="40">
        <f>SUM(B25:B36)</f>
        <v>79227001</v>
      </c>
      <c r="C37" s="40">
        <f>SUM(C25:C36)</f>
        <v>37525360</v>
      </c>
      <c r="D37" s="40">
        <f>SUM(D25:D36)</f>
        <v>116752361</v>
      </c>
      <c r="T37" s="39">
        <f>AVERAGE(T25:T36)</f>
        <v>2.2483539457578413E-2</v>
      </c>
      <c r="U37" s="39">
        <f>AVERAGE(U25:U36)</f>
        <v>6.8146511903175597E-2</v>
      </c>
      <c r="V37" s="39">
        <f>AVERAGE(V25:V36)</f>
        <v>3.6890854463371252E-2</v>
      </c>
    </row>
    <row r="38" spans="1:22" s="6" customFormat="1" ht="12" x14ac:dyDescent="0.2">
      <c r="A38" s="17"/>
      <c r="B38" s="85"/>
      <c r="C38" s="85"/>
      <c r="D38" s="85"/>
      <c r="T38" s="51"/>
      <c r="U38" s="51"/>
      <c r="V38" s="51"/>
    </row>
    <row r="39" spans="1:22" s="6" customFormat="1" ht="12" x14ac:dyDescent="0.2">
      <c r="A39" s="17"/>
      <c r="B39" s="17"/>
      <c r="C39" s="17"/>
      <c r="D39" s="17"/>
      <c r="T39" s="18"/>
      <c r="U39" s="18"/>
      <c r="V39" s="18"/>
    </row>
    <row r="40" spans="1:22" s="6" customFormat="1" x14ac:dyDescent="0.2">
      <c r="A40" s="5"/>
      <c r="B40" s="202" t="s">
        <v>29</v>
      </c>
      <c r="C40" s="202"/>
      <c r="D40" s="202"/>
      <c r="T40" s="203" t="s">
        <v>29</v>
      </c>
      <c r="U40" s="203"/>
      <c r="V40" s="203"/>
    </row>
    <row r="41" spans="1:22" s="6" customFormat="1" ht="36" x14ac:dyDescent="0.2">
      <c r="A41" s="124" t="s">
        <v>1</v>
      </c>
      <c r="B41" s="124" t="s">
        <v>2</v>
      </c>
      <c r="C41" s="124" t="s">
        <v>3</v>
      </c>
      <c r="D41" s="124" t="s">
        <v>4</v>
      </c>
      <c r="T41" s="8" t="s">
        <v>9</v>
      </c>
      <c r="U41" s="8" t="s">
        <v>10</v>
      </c>
      <c r="V41" s="8" t="s">
        <v>11</v>
      </c>
    </row>
    <row r="42" spans="1:22" s="6" customFormat="1" ht="12" x14ac:dyDescent="0.2">
      <c r="A42" s="9">
        <v>41183</v>
      </c>
      <c r="B42" s="86">
        <f t="shared" ref="B42:D54" si="2">B9/B25</f>
        <v>108.73950024273563</v>
      </c>
      <c r="C42" s="86">
        <f t="shared" si="2"/>
        <v>71.531331869495034</v>
      </c>
      <c r="D42" s="86">
        <f t="shared" si="2"/>
        <v>96.43963537071923</v>
      </c>
      <c r="T42" s="38">
        <f>(B42-'FY2012'!B50)/'FY2012'!B50</f>
        <v>3.6840012994242048E-2</v>
      </c>
      <c r="U42" s="38">
        <f>(C42-'FY2012'!C50)/'FY2012'!C50</f>
        <v>-4.0015776365973622E-2</v>
      </c>
      <c r="V42" s="38">
        <f>(D42-'FY2012'!D50)/'FY2012'!D50</f>
        <v>1.388606646845604E-2</v>
      </c>
    </row>
    <row r="43" spans="1:22" s="6" customFormat="1" ht="12" x14ac:dyDescent="0.2">
      <c r="A43" s="9">
        <v>41214</v>
      </c>
      <c r="B43" s="86">
        <f t="shared" si="2"/>
        <v>109.75460323633641</v>
      </c>
      <c r="C43" s="86">
        <f t="shared" si="2"/>
        <v>74.151397463108168</v>
      </c>
      <c r="D43" s="86">
        <f t="shared" si="2"/>
        <v>97.446867778536301</v>
      </c>
      <c r="T43" s="38">
        <f>(B43-'FY2012'!B51)/'FY2012'!B51</f>
        <v>4.5576409079099095E-3</v>
      </c>
      <c r="U43" s="38">
        <f>(C43-'FY2012'!C51)/'FY2012'!C51</f>
        <v>-1.1845043693256372E-2</v>
      </c>
      <c r="V43" s="38">
        <f>(D43-'FY2012'!D51)/'FY2012'!D51</f>
        <v>-6.2332923369727237E-3</v>
      </c>
    </row>
    <row r="44" spans="1:22" s="6" customFormat="1" ht="12" x14ac:dyDescent="0.2">
      <c r="A44" s="9">
        <v>41244</v>
      </c>
      <c r="B44" s="86">
        <f t="shared" si="2"/>
        <v>112.83830492231093</v>
      </c>
      <c r="C44" s="86">
        <f t="shared" si="2"/>
        <v>77.257132373990302</v>
      </c>
      <c r="D44" s="86">
        <f t="shared" si="2"/>
        <v>100.44201751839232</v>
      </c>
      <c r="T44" s="38">
        <f>(B44-'FY2012'!B52)/'FY2012'!B52</f>
        <v>1.6946961189238989E-2</v>
      </c>
      <c r="U44" s="38">
        <f>(C44-'FY2012'!C52)/'FY2012'!C52</f>
        <v>-4.7900753393866069E-3</v>
      </c>
      <c r="V44" s="38">
        <f>(D44-'FY2012'!D52)/'FY2012'!D52</f>
        <v>3.3105456026486946E-3</v>
      </c>
    </row>
    <row r="45" spans="1:22" s="6" customFormat="1" ht="12" x14ac:dyDescent="0.2">
      <c r="A45" s="9">
        <v>41275</v>
      </c>
      <c r="B45" s="86">
        <f t="shared" si="2"/>
        <v>108.13076362160129</v>
      </c>
      <c r="C45" s="86">
        <f t="shared" si="2"/>
        <v>71.099697554860896</v>
      </c>
      <c r="D45" s="86">
        <f t="shared" si="2"/>
        <v>96.048504645460156</v>
      </c>
      <c r="T45" s="38">
        <f>(B45-'FY2012'!B53)/'FY2012'!B53</f>
        <v>5.0864554840266307E-2</v>
      </c>
      <c r="U45" s="38">
        <f>(C45-'FY2012'!C53)/'FY2012'!C53</f>
        <v>-4.2046343806684962E-2</v>
      </c>
      <c r="V45" s="38">
        <f>(D45-'FY2012'!D53)/'FY2012'!D53</f>
        <v>2.4378377091002698E-2</v>
      </c>
    </row>
    <row r="46" spans="1:22" s="6" customFormat="1" ht="12" x14ac:dyDescent="0.2">
      <c r="A46" s="9">
        <v>41306</v>
      </c>
      <c r="B46" s="86">
        <f t="shared" si="2"/>
        <v>104.00862529742373</v>
      </c>
      <c r="C46" s="86">
        <f t="shared" si="2"/>
        <v>73.923200983222529</v>
      </c>
      <c r="D46" s="86">
        <f t="shared" si="2"/>
        <v>94.008739539038288</v>
      </c>
      <c r="T46" s="38">
        <f>(B46-'FY2012'!B54)/'FY2012'!B54</f>
        <v>1.8605236435479983E-2</v>
      </c>
      <c r="U46" s="38">
        <f>(C46-'FY2012'!C54)/'FY2012'!C54</f>
        <v>-1.7036776649798462E-2</v>
      </c>
      <c r="V46" s="38">
        <f>(D46-'FY2012'!D54)/'FY2012'!D54</f>
        <v>3.7163579626255604E-3</v>
      </c>
    </row>
    <row r="47" spans="1:22" s="6" customFormat="1" ht="12" x14ac:dyDescent="0.2">
      <c r="A47" s="9">
        <v>41334</v>
      </c>
      <c r="B47" s="86">
        <f t="shared" si="2"/>
        <v>103.7889000892815</v>
      </c>
      <c r="C47" s="86">
        <f t="shared" si="2"/>
        <v>73.452301340550662</v>
      </c>
      <c r="D47" s="86">
        <f t="shared" si="2"/>
        <v>93.847815549524654</v>
      </c>
      <c r="T47" s="38">
        <f>(B47-'FY2012'!B55)/'FY2012'!B55</f>
        <v>2.0126884585365552E-2</v>
      </c>
      <c r="U47" s="38">
        <f>(C47-'FY2012'!C55)/'FY2012'!C55</f>
        <v>1.3154014507308075E-4</v>
      </c>
      <c r="V47" s="38">
        <f>(D47-'FY2012'!D55)/'FY2012'!D55</f>
        <v>8.2314391508106193E-3</v>
      </c>
    </row>
    <row r="48" spans="1:22" s="6" customFormat="1" ht="12" x14ac:dyDescent="0.2">
      <c r="A48" s="9">
        <v>41365</v>
      </c>
      <c r="B48" s="86">
        <f t="shared" si="2"/>
        <v>101.77304704039832</v>
      </c>
      <c r="C48" s="86">
        <f t="shared" si="2"/>
        <v>69.964863140436705</v>
      </c>
      <c r="D48" s="86">
        <f t="shared" si="2"/>
        <v>91.660774473661206</v>
      </c>
      <c r="T48" s="38">
        <f>(B48-'FY2012'!B56)/'FY2012'!B56</f>
        <v>1.3303684134139316E-2</v>
      </c>
      <c r="U48" s="38">
        <f>(C48-'FY2012'!C56)/'FY2012'!C56</f>
        <v>-4.1589976203207209E-2</v>
      </c>
      <c r="V48" s="38">
        <f>(D48-'FY2012'!D56)/'FY2012'!D56</f>
        <v>-2.8715264889812328E-3</v>
      </c>
    </row>
    <row r="49" spans="1:22" s="6" customFormat="1" ht="12" x14ac:dyDescent="0.2">
      <c r="A49" s="9">
        <v>41395</v>
      </c>
      <c r="B49" s="86">
        <f t="shared" si="2"/>
        <v>107.4334113771756</v>
      </c>
      <c r="C49" s="86">
        <f t="shared" si="2"/>
        <v>70.138082945474522</v>
      </c>
      <c r="D49" s="86">
        <f t="shared" si="2"/>
        <v>95.688595735198803</v>
      </c>
      <c r="T49" s="38">
        <f>(B49-'FY2012'!B57)/'FY2012'!B57</f>
        <v>5.9032748740940832E-2</v>
      </c>
      <c r="U49" s="38">
        <f>(C49-'FY2012'!C57)/'FY2012'!C57</f>
        <v>-2.3201240006617829E-2</v>
      </c>
      <c r="V49" s="38">
        <f>(D49-'FY2012'!D57)/'FY2012'!D57</f>
        <v>3.416643957519467E-2</v>
      </c>
    </row>
    <row r="50" spans="1:22" s="6" customFormat="1" ht="12" x14ac:dyDescent="0.2">
      <c r="A50" s="9">
        <v>41426</v>
      </c>
      <c r="B50" s="86">
        <f t="shared" si="2"/>
        <v>105.27192882490488</v>
      </c>
      <c r="C50" s="86">
        <f t="shared" si="2"/>
        <v>71.743598556777542</v>
      </c>
      <c r="D50" s="86">
        <f t="shared" si="2"/>
        <v>94.984935336791708</v>
      </c>
      <c r="T50" s="38">
        <f>(B50-'FY2012'!B58)/'FY2012'!B58</f>
        <v>9.147656556581547E-3</v>
      </c>
      <c r="U50" s="38">
        <f>(C50-'FY2012'!C58)/'FY2012'!C58</f>
        <v>-1.8096731899682264E-2</v>
      </c>
      <c r="V50" s="38">
        <f>(D50-'FY2012'!D58)/'FY2012'!D58</f>
        <v>-2.7512085917463092E-4</v>
      </c>
    </row>
    <row r="51" spans="1:22" s="6" customFormat="1" ht="12" x14ac:dyDescent="0.2">
      <c r="A51" s="9">
        <v>41456</v>
      </c>
      <c r="B51" s="86">
        <f t="shared" si="2"/>
        <v>107.33458130784473</v>
      </c>
      <c r="C51" s="86">
        <f t="shared" si="2"/>
        <v>73.029976033962313</v>
      </c>
      <c r="D51" s="86">
        <f t="shared" si="2"/>
        <v>97.57448651540156</v>
      </c>
      <c r="T51" s="38">
        <f>(B51-'FY2012'!B59)/'FY2012'!B59</f>
        <v>5.7646994263541487E-2</v>
      </c>
      <c r="U51" s="38">
        <f>(C51-'FY2012'!C59)/'FY2012'!C59</f>
        <v>1.0637153899517637E-2</v>
      </c>
      <c r="V51" s="38">
        <f>(D51-'FY2012'!D59)/'FY2012'!D59</f>
        <v>5.0727200903810228E-2</v>
      </c>
    </row>
    <row r="52" spans="1:22" s="6" customFormat="1" ht="12" x14ac:dyDescent="0.2">
      <c r="A52" s="9">
        <v>41487</v>
      </c>
      <c r="B52" s="86">
        <f t="shared" si="2"/>
        <v>109.20263289537816</v>
      </c>
      <c r="C52" s="86">
        <f t="shared" si="2"/>
        <v>74.527008679529445</v>
      </c>
      <c r="D52" s="86">
        <f t="shared" si="2"/>
        <v>98.61596698438629</v>
      </c>
      <c r="T52" s="38">
        <f>(B52-'FY2012'!B60)/'FY2012'!B60</f>
        <v>2.8906841156390431E-2</v>
      </c>
      <c r="U52" s="38">
        <f>(C52-'FY2012'!C60)/'FY2012'!C60</f>
        <v>3.8300681762879867E-2</v>
      </c>
      <c r="V52" s="38">
        <f>(D52-'FY2012'!D60)/'FY2012'!D60</f>
        <v>3.1260345273851513E-2</v>
      </c>
    </row>
    <row r="53" spans="1:22" s="6" customFormat="1" ht="12" x14ac:dyDescent="0.2">
      <c r="A53" s="9">
        <v>41518</v>
      </c>
      <c r="B53" s="86">
        <f t="shared" si="2"/>
        <v>110.51389658049433</v>
      </c>
      <c r="C53" s="86">
        <f t="shared" si="2"/>
        <v>71.858288281872149</v>
      </c>
      <c r="D53" s="86">
        <f t="shared" si="2"/>
        <v>97.998357597119522</v>
      </c>
      <c r="T53" s="38">
        <f>(B53-'FY2012'!B61)/'FY2012'!B61</f>
        <v>2.3244610774592191E-2</v>
      </c>
      <c r="U53" s="38">
        <f>(C53-'FY2012'!C61)/'FY2012'!C61</f>
        <v>-2.8050616580690975E-2</v>
      </c>
      <c r="V53" s="38">
        <f>(D53-'FY2012'!D61)/'FY2012'!D61</f>
        <v>1.2677079623269019E-2</v>
      </c>
    </row>
    <row r="54" spans="1:22" s="6" customFormat="1" ht="12" x14ac:dyDescent="0.2">
      <c r="A54" s="108" t="s">
        <v>116</v>
      </c>
      <c r="B54" s="87">
        <f t="shared" si="2"/>
        <v>107.31099293913701</v>
      </c>
      <c r="C54" s="87">
        <f t="shared" si="2"/>
        <v>72.71657883095591</v>
      </c>
      <c r="D54" s="87">
        <f t="shared" si="2"/>
        <v>96.192007144934735</v>
      </c>
      <c r="T54" s="39">
        <f>AVERAGE(T42:T53)</f>
        <v>2.8268652214890711E-2</v>
      </c>
      <c r="U54" s="39">
        <f>AVERAGE(U42:U53)</f>
        <v>-1.4800267061485642E-2</v>
      </c>
      <c r="V54" s="39">
        <f>AVERAGE(V42:V53)</f>
        <v>1.4414492663878375E-2</v>
      </c>
    </row>
    <row r="55" spans="1:22" s="6" customFormat="1" ht="12" x14ac:dyDescent="0.2">
      <c r="A55" s="17"/>
      <c r="B55" s="84"/>
      <c r="C55" s="84"/>
      <c r="D55" s="84"/>
      <c r="T55" s="18"/>
      <c r="U55" s="18"/>
      <c r="V55" s="18"/>
    </row>
    <row r="56" spans="1:22" s="5" customFormat="1" ht="13.5" customHeight="1" x14ac:dyDescent="0.2"/>
    <row r="57" spans="1:22" s="5" customFormat="1" x14ac:dyDescent="0.2">
      <c r="B57" s="202" t="s">
        <v>7</v>
      </c>
      <c r="C57" s="202"/>
      <c r="D57" s="202"/>
      <c r="T57" s="203" t="s">
        <v>7</v>
      </c>
      <c r="U57" s="203"/>
      <c r="V57" s="203"/>
    </row>
    <row r="58" spans="1:22" s="5" customFormat="1" ht="36" x14ac:dyDescent="0.2">
      <c r="A58" s="124" t="s">
        <v>1</v>
      </c>
      <c r="B58" s="124" t="s">
        <v>2</v>
      </c>
      <c r="C58" s="129" t="s">
        <v>3</v>
      </c>
      <c r="D58" s="124" t="s">
        <v>4</v>
      </c>
      <c r="T58" s="8" t="s">
        <v>9</v>
      </c>
      <c r="U58" s="8" t="s">
        <v>10</v>
      </c>
      <c r="V58" s="8" t="s">
        <v>11</v>
      </c>
    </row>
    <row r="59" spans="1:22" s="5" customFormat="1" ht="12" x14ac:dyDescent="0.2">
      <c r="A59" s="9">
        <v>41183</v>
      </c>
      <c r="B59" s="43">
        <f>7730377.31+1788177.7+387708.34</f>
        <v>9906263.3499999996</v>
      </c>
      <c r="C59" s="41">
        <f>23463.82+450.22+81539+3893.67+7+1830.68+7.95+1691.25+10273.84+26988.25+122.91+38.61+1295.26+762.1+16714.56+82.3+404088.43+308.75+3142.24+40844.08+70.76+41121.89+28400.36+25162.73+1224.62+0.22+35922.6+57.4+1326.47+7958.47+28271.55</f>
        <v>787061.98999999987</v>
      </c>
      <c r="D59" s="41">
        <f>SUM(B59:C59)</f>
        <v>10693325.34</v>
      </c>
      <c r="T59" s="38">
        <f>(B59-'FY2012'!B67)/'FY2012'!B67</f>
        <v>2.0209033337607599E-2</v>
      </c>
      <c r="U59" s="38">
        <f>(C59-'FY2012'!C67)/'FY2012'!C67</f>
        <v>0.1140090537599374</v>
      </c>
      <c r="V59" s="38">
        <f>(D59-'FY2012'!D67)/'FY2012'!D67</f>
        <v>2.6571117541267644E-2</v>
      </c>
    </row>
    <row r="60" spans="1:22" s="5" customFormat="1" ht="12" x14ac:dyDescent="0.2">
      <c r="A60" s="9">
        <v>41214</v>
      </c>
      <c r="B60" s="43">
        <f>7349577.78+398544.72+2587736.04</f>
        <v>10335858.539999999</v>
      </c>
      <c r="C60" s="41">
        <f>24344.82+441.82+82793.8+3823.75+3610.75+11.74+8963.63+26895.05+116.99+33.57+1365.32+783.85+21375.85+84.88+427466.03+298.5+3126.05+42627.39+45.53+39825.58+22955.23+26219.27+1225.33+38241.42+48.82+2999.27+0.69+7727.06+26131.89</f>
        <v>813583.88000000012</v>
      </c>
      <c r="D60" s="41">
        <f>SUM(B60:C60)</f>
        <v>11149442.42</v>
      </c>
      <c r="T60" s="38">
        <f>(B60-'FY2012'!B68)/'FY2012'!B68</f>
        <v>7.2753484744056546E-2</v>
      </c>
      <c r="U60" s="38">
        <f>(C60-'FY2012'!C68)/'FY2012'!C68</f>
        <v>0.13004159971669546</v>
      </c>
      <c r="V60" s="38">
        <f>(D60-'FY2012'!D68)/'FY2012'!D68</f>
        <v>7.6736654215308342E-2</v>
      </c>
    </row>
    <row r="61" spans="1:22" s="5" customFormat="1" ht="12" x14ac:dyDescent="0.2">
      <c r="A61" s="9">
        <v>41244</v>
      </c>
      <c r="B61" s="43">
        <f>7500653.75+409469.97+2571189.85</f>
        <v>10481313.57</v>
      </c>
      <c r="C61" s="41">
        <f>24260.78+435.14+0.48+81543.6+3712.6+3634.68+1.38+8455.92+26136.07+115.87+42.15+1354.8+725.78+21787.56+86.32+421313.45+286.75+3171.69+44756.44+43.76+36320.59+22909.17+26000.65+1196.67+38116.33+52.88+3495.6+0.23+7624.28+24734.25</f>
        <v>802315.87</v>
      </c>
      <c r="D61" s="41">
        <f>SUM(B61:C61)</f>
        <v>11283629.439999999</v>
      </c>
      <c r="T61" s="38">
        <f>(B61-'FY2012'!B69)/'FY2012'!B69</f>
        <v>3.2668081875192705E-2</v>
      </c>
      <c r="U61" s="38">
        <f>(C61-'FY2012'!C69)/'FY2012'!C69</f>
        <v>6.9766474717850038E-2</v>
      </c>
      <c r="V61" s="38">
        <f>(D61-'FY2012'!D69)/'FY2012'!D69</f>
        <v>3.5220757617485027E-2</v>
      </c>
    </row>
    <row r="62" spans="1:22" s="5" customFormat="1" ht="12" x14ac:dyDescent="0.2">
      <c r="A62" s="9">
        <v>41275</v>
      </c>
      <c r="B62" s="43">
        <f>7729991+409410.54+2881416.41</f>
        <v>11020817.949999999</v>
      </c>
      <c r="C62" s="43">
        <f>24560.21+415.51+1.89+75653.8+3097.79+3326.95+7881.1+24877.4+110.01+58.13+1284.82+736.09+21053.92+86.56+413030.99+282.25+3029.07+42679.77+45.6+39985.72+21886.9+24230.17+1225.25+35826.1+62.69+3259.8+7319.44+26682.04</f>
        <v>782689.96999999986</v>
      </c>
      <c r="D62" s="41">
        <f>SUM(B62:C62)</f>
        <v>11803507.92</v>
      </c>
      <c r="T62" s="38">
        <f>(B62-'FY2012'!B70)/'FY2012'!B70</f>
        <v>0.17313132028153055</v>
      </c>
      <c r="U62" s="38">
        <f>(C62-'FY2012'!C70)/'FY2012'!C70</f>
        <v>0.11379253423564883</v>
      </c>
      <c r="V62" s="38">
        <f>(D62-'FY2012'!D70)/'FY2012'!D70</f>
        <v>0.16900152896601817</v>
      </c>
    </row>
    <row r="63" spans="1:22" s="5" customFormat="1" ht="12" x14ac:dyDescent="0.2">
      <c r="A63" s="9">
        <v>41306</v>
      </c>
      <c r="B63" s="43">
        <f>2538997.88+7123494.23+354164.23</f>
        <v>10016656.34</v>
      </c>
      <c r="C63" s="43">
        <f>24555.45+434.98+72947.4+2931.18+3232.08+6790.35+23248.42+109.82+59.14+1265.76+721.53+20253.02+99.17+415580.5+266+2840.21+41942.38+44.29+39395.33+21502.33+25642.32+1194.43+6561.55+3+626.33+0.28+28945.75+30.89+2709.71+7101.51+25717.79</f>
        <v>776752.9</v>
      </c>
      <c r="D63" s="41">
        <f>SUM(B63:C63)</f>
        <v>10793409.24</v>
      </c>
      <c r="T63" s="38">
        <f>(B63-'FY2012'!B71)/'FY2012'!B71</f>
        <v>5.774324833745454E-2</v>
      </c>
      <c r="U63" s="38">
        <f>(C63-'FY2012'!C71)/'FY2012'!C71</f>
        <v>7.4848339707652214E-2</v>
      </c>
      <c r="V63" s="38">
        <f>(D63-'FY2012'!D71)/'FY2012'!D71</f>
        <v>5.8956023720253152E-2</v>
      </c>
    </row>
    <row r="64" spans="1:22" s="5" customFormat="1" ht="12" x14ac:dyDescent="0.2">
      <c r="A64" s="9">
        <v>41334</v>
      </c>
      <c r="B64" s="43">
        <f>7907928+390677+2923945+99446.14+88125.67+48707.79+66817.28</f>
        <v>11525646.879999999</v>
      </c>
      <c r="C64" s="43">
        <f>27176.33+489.11+2.02+80454.2+3326.54+3612.13+7502.99+26295.09+122.05+92.35+1489.02+805.8+22350.15+108.77+465863.55+309.5+3223.69+48140.38+48.63+43391.26+24086.79+29954.12+1311.57+5.03+40044.33+37.86+2880.15+7932.52+28580.37</f>
        <v>869636.29999999993</v>
      </c>
      <c r="D64" s="41">
        <f t="shared" ref="D64:D70" si="3">SUM(B64:C64)</f>
        <v>12395283.18</v>
      </c>
      <c r="T64" s="38">
        <f>(B64-'FY2012'!B72)/'FY2012'!B72</f>
        <v>9.3794226220132365E-2</v>
      </c>
      <c r="U64" s="38">
        <f>(C64-'FY2012'!C72)/'FY2012'!C72</f>
        <v>0.10817537035227057</v>
      </c>
      <c r="V64" s="38">
        <f>(D64-'FY2012'!D72)/'FY2012'!D72</f>
        <v>9.4791001757701263E-2</v>
      </c>
    </row>
    <row r="65" spans="1:22" s="5" customFormat="1" ht="12" x14ac:dyDescent="0.2">
      <c r="A65" s="9">
        <v>41365</v>
      </c>
      <c r="B65" s="43">
        <f>7442691+2666744+393138+50516.97+107162.43+703703.61+91972.31</f>
        <v>11455928.32</v>
      </c>
      <c r="C65" s="43">
        <f>25549.7+454.14+0.92+72862.4+3063.06+3160.85+6757.4+25259.74+129.92+70.91+1610.33+12.34+25294.61+105.1+428267.25+304+3051.23+44369.32+41.55+42356.29+19654.13+4.74+26992+1177.27+0.35+35042.08+15.25+1803.45+7750.17+28241.48</f>
        <v>803401.98</v>
      </c>
      <c r="D65" s="41">
        <f t="shared" si="3"/>
        <v>12259330.300000001</v>
      </c>
      <c r="T65" s="38">
        <f>(B65-'FY2012'!B73)/'FY2012'!B73</f>
        <v>0.14373859612552989</v>
      </c>
      <c r="U65" s="38">
        <f>(C65-'FY2012'!C73)/'FY2012'!C73</f>
        <v>0.11174107771864658</v>
      </c>
      <c r="V65" s="38">
        <f>(D65-'FY2012'!D73)/'FY2012'!D73</f>
        <v>0.1415853821232633</v>
      </c>
    </row>
    <row r="66" spans="1:22" s="5" customFormat="1" ht="12" x14ac:dyDescent="0.2">
      <c r="A66" s="9">
        <v>41395</v>
      </c>
      <c r="B66" s="101">
        <f>8446948+468137.18+65848.08+139679.26+134300.4+119148.73+3064199.65</f>
        <v>12438261.300000001</v>
      </c>
      <c r="C66" s="43">
        <f>27920.44+469.88+1.81+75922.2+3260.74+3369.58+7150.5+32567.62+128.39+65.85+1660.72+33344.2+125.71+462651.59+299.75+3252.42+46226.84+42.98+43680.72+21050.47+28769.72+671.15+38226.08+13.26+58.25+8383.61+29745.33</f>
        <v>869059.80999999994</v>
      </c>
      <c r="D66" s="41">
        <f t="shared" si="3"/>
        <v>13307321.110000001</v>
      </c>
      <c r="T66" s="38">
        <f>(B66-'FY2012'!B74)/'FY2012'!B74</f>
        <v>8.9628067766819294E-2</v>
      </c>
      <c r="U66" s="38">
        <f>(C66-'FY2012'!C74)/'FY2012'!C74</f>
        <v>0.10514923917936891</v>
      </c>
      <c r="V66" s="38">
        <f>(D66-'FY2012'!D74)/'FY2012'!D74</f>
        <v>9.0628388784494612E-2</v>
      </c>
    </row>
    <row r="67" spans="1:22" s="5" customFormat="1" ht="12" x14ac:dyDescent="0.2">
      <c r="A67" s="9">
        <v>41426</v>
      </c>
      <c r="B67" s="43">
        <f>8285216+444498+2931295+70371.21+149292.95+141395.67+125424.37</f>
        <v>12147493.199999999</v>
      </c>
      <c r="C67" s="43">
        <f>15866.18+44.49+46840.2+2857.4+4277.08+6074.68+7979.92+58659.21+135.91+97.41+2460.43+1.11+11149.54+201.73+464419.84+483+3105.19+48105.35+38.87+3077.83+20554.21+26773.77+700.67+14.03+24111.68+12.08+12.07+8718.65+49353.68</f>
        <v>806126.21</v>
      </c>
      <c r="D67" s="41">
        <f t="shared" si="3"/>
        <v>12953619.41</v>
      </c>
      <c r="T67" s="38">
        <f>(B67-'FY2012'!B75)/'FY2012'!B75</f>
        <v>2.8339102955954831E-2</v>
      </c>
      <c r="U67" s="38">
        <f>(C67-'FY2012'!C75)/'FY2012'!C75</f>
        <v>3.0354830856029018E-2</v>
      </c>
      <c r="V67" s="38">
        <f>(D67-'FY2012'!D75)/'FY2012'!D75</f>
        <v>2.8464315036440549E-2</v>
      </c>
    </row>
    <row r="68" spans="1:22" s="5" customFormat="1" ht="12" x14ac:dyDescent="0.2">
      <c r="A68" s="9">
        <v>41456</v>
      </c>
      <c r="B68" s="43">
        <f>8241450.79+3025276.7+437758.44+65029.47+138027.18+130748.8+115982.8</f>
        <v>12154274.180000002</v>
      </c>
      <c r="C68" s="43">
        <f>13276.73+1.22+38499+2544.64+4644.48+6216.65+8019.73+53847.23+116.77+77.16+2270.24+8562.38+123.36+416859.06+445.5+2737.51+42713.11+34.7+755.93+17934.8+23807.11+623.59+89.1+19559.83+11.61+13.54+9073.89+48943.49</f>
        <v>721802.36</v>
      </c>
      <c r="D68" s="41">
        <f t="shared" si="3"/>
        <v>12876076.540000001</v>
      </c>
      <c r="T68" s="38">
        <f>(B68-'FY2012'!B76)/'FY2012'!B76</f>
        <v>7.0883239354890798E-2</v>
      </c>
      <c r="U68" s="38">
        <f>(C68-'FY2012'!C76)/'FY2012'!C76</f>
        <v>-2.4810440887324915E-2</v>
      </c>
      <c r="V68" s="38">
        <f>(D68-'FY2012'!D76)/'FY2012'!D76</f>
        <v>6.5024709514065998E-2</v>
      </c>
    </row>
    <row r="69" spans="1:22" s="5" customFormat="1" ht="12" x14ac:dyDescent="0.2">
      <c r="A69" s="9">
        <v>41487</v>
      </c>
      <c r="B69" s="43">
        <f>8501167+3116351+44084+52860.25+112144.22+108417+96106.17</f>
        <v>12031129.640000001</v>
      </c>
      <c r="C69" s="43">
        <f>0.54+44602.6+0.56+5242.05+6854.99+18214.78+58108+121.34+101.18+2699.38+0.29+9942.33+124.63+484965.87+521+3131.9+10839.42+34.5+597.76+19973.56+28035.02+581.81+1.1+21085+11.64+11.96+10263.91+90253.27</f>
        <v>816320.39000000025</v>
      </c>
      <c r="D69" s="41">
        <f t="shared" si="3"/>
        <v>12847450.030000001</v>
      </c>
      <c r="T69" s="38">
        <f>(B69-'FY2012'!B77)/'FY2012'!B77</f>
        <v>-4.8368856311613887E-3</v>
      </c>
      <c r="U69" s="38">
        <f>(C69-'FY2012'!C77)/'FY2012'!C77</f>
        <v>-2.2920554438476742E-3</v>
      </c>
      <c r="V69" s="38">
        <f>(D69-'FY2012'!D77)/'FY2012'!D77</f>
        <v>-4.675574719214942E-3</v>
      </c>
    </row>
    <row r="70" spans="1:22" s="5" customFormat="1" ht="12" x14ac:dyDescent="0.2">
      <c r="A70" s="9">
        <v>41518</v>
      </c>
      <c r="B70" s="43">
        <f>7834156+2930489+406308+45710.51+96991.74+87558.66+77647.68</f>
        <v>11478861.59</v>
      </c>
      <c r="C70" s="43">
        <f>14110.1+0.89+42836+0.14+4911.23+6455.83+16994.34+49518.21+134.54+102.92+2273.64+9662.01+118.47+455384.97+456.75+2867.48+9930.02+32.1+552.55+18960.93+27144.52+563.83+0.55+20602.55+5.69+9.47+9353.17+84991.29</f>
        <v>777974.19000000018</v>
      </c>
      <c r="D70" s="41">
        <f t="shared" si="3"/>
        <v>12256835.779999999</v>
      </c>
      <c r="T70" s="38">
        <f>(B70-'FY2012'!B78)/'FY2012'!B78</f>
        <v>5.0886685460819217E-2</v>
      </c>
      <c r="U70" s="38">
        <f>(C70-'FY2012'!C78)/'FY2012'!C78</f>
        <v>-1.3120553543569623E-2</v>
      </c>
      <c r="V70" s="38">
        <f>(D70-'FY2012'!D78)/'FY2012'!D78</f>
        <v>4.6578211221968792E-2</v>
      </c>
    </row>
    <row r="71" spans="1:22" s="6" customFormat="1" ht="12" x14ac:dyDescent="0.2">
      <c r="A71" s="108" t="s">
        <v>116</v>
      </c>
      <c r="B71" s="42">
        <f>SUM(B59:B70)</f>
        <v>134992504.85999998</v>
      </c>
      <c r="C71" s="42">
        <f>SUM(C59:C70)</f>
        <v>9626725.8499999996</v>
      </c>
      <c r="D71" s="42">
        <f>SUM(D59:D70)</f>
        <v>144619230.70999998</v>
      </c>
      <c r="T71" s="39">
        <f>AVERAGE(T59:T70)</f>
        <v>6.9078183402402252E-2</v>
      </c>
      <c r="U71" s="39">
        <f>AVERAGE(U59:U70)</f>
        <v>6.8137955864113059E-2</v>
      </c>
      <c r="V71" s="39">
        <f>AVERAGE(V59:V70)</f>
        <v>6.907354298158766E-2</v>
      </c>
    </row>
    <row r="72" spans="1:22" s="6" customFormat="1" ht="12" x14ac:dyDescent="0.2">
      <c r="A72" s="80"/>
      <c r="B72" s="76"/>
      <c r="C72" s="76"/>
      <c r="D72" s="76"/>
      <c r="T72" s="51"/>
      <c r="U72" s="51"/>
      <c r="V72" s="51"/>
    </row>
    <row r="73" spans="1:22" s="6" customFormat="1" ht="12" x14ac:dyDescent="0.2">
      <c r="A73" s="17"/>
      <c r="B73" s="17"/>
      <c r="C73" s="17"/>
      <c r="D73" s="17"/>
      <c r="T73" s="18"/>
      <c r="U73" s="18"/>
      <c r="V73" s="18"/>
    </row>
    <row r="74" spans="1:22" s="5" customFormat="1" x14ac:dyDescent="0.2">
      <c r="A74" s="19"/>
      <c r="B74" s="208" t="s">
        <v>20</v>
      </c>
      <c r="C74" s="208"/>
      <c r="D74" s="208"/>
      <c r="E74" s="19"/>
      <c r="T74" s="209" t="s">
        <v>20</v>
      </c>
      <c r="U74" s="209"/>
      <c r="V74" s="209"/>
    </row>
    <row r="75" spans="1:22" s="5" customFormat="1" ht="36" x14ac:dyDescent="0.2">
      <c r="A75" s="126" t="s">
        <v>1</v>
      </c>
      <c r="B75" s="126" t="s">
        <v>2</v>
      </c>
      <c r="C75" s="100" t="s">
        <v>3</v>
      </c>
      <c r="D75" s="94"/>
      <c r="E75" s="19"/>
      <c r="T75" s="8" t="s">
        <v>9</v>
      </c>
      <c r="U75" s="8" t="s">
        <v>10</v>
      </c>
      <c r="V75" s="54"/>
    </row>
    <row r="76" spans="1:22" s="5" customFormat="1" ht="12" x14ac:dyDescent="0.2">
      <c r="A76" s="9">
        <v>41183</v>
      </c>
      <c r="B76" s="43">
        <f>31319.77+665702+105168.55+1516.3+400.24+200.36+19.16+83.91+17305.52+1318.36+13.6+148.28+5122.43+19.79</f>
        <v>828338.27000000025</v>
      </c>
      <c r="C76" s="43">
        <f>894949.12-C59</f>
        <v>107887.13000000012</v>
      </c>
      <c r="D76" s="82"/>
      <c r="E76" s="19"/>
      <c r="T76" s="38">
        <f>(B76-'FY2012'!B84)/'FY2012'!B84</f>
        <v>0.25767337379626609</v>
      </c>
      <c r="U76" s="38">
        <f>(C76-'FY2012'!C84)/'FY2012'!C84</f>
        <v>8.0376696889445348E-2</v>
      </c>
      <c r="V76" s="26"/>
    </row>
    <row r="77" spans="1:22" s="5" customFormat="1" ht="12" x14ac:dyDescent="0.2">
      <c r="A77" s="9">
        <v>41214</v>
      </c>
      <c r="B77" s="43">
        <f>97456.03+14.6+3909.23+134.65+13.6+1805.66+17961.07+108.72+278.71+415.59+567.5+634734.19+31350.22</f>
        <v>788749.7699999999</v>
      </c>
      <c r="C77" s="43">
        <f>923231.01-C60</f>
        <v>109647.12999999989</v>
      </c>
      <c r="D77" s="82"/>
      <c r="E77" s="19"/>
      <c r="T77" s="38">
        <f>(B77-'FY2012'!B85)/'FY2012'!B85</f>
        <v>0.21609543441793902</v>
      </c>
      <c r="U77" s="38">
        <f>(C77-'FY2012'!C85)/'FY2012'!C85</f>
        <v>8.3765664851544214E-2</v>
      </c>
      <c r="V77" s="26"/>
    </row>
    <row r="78" spans="1:22" s="5" customFormat="1" ht="12" x14ac:dyDescent="0.2">
      <c r="A78" s="9">
        <v>41244</v>
      </c>
      <c r="B78" s="43">
        <f>32070.26+97683+648081.32+12.83+2646.08+122.32+11.47+1444.84+15019.09+93.79+264.91+426.9+477.2</f>
        <v>798354.00999999978</v>
      </c>
      <c r="C78" s="43">
        <f>910769.43-C61</f>
        <v>108453.56000000006</v>
      </c>
      <c r="D78" s="82"/>
      <c r="E78" s="19"/>
      <c r="T78" s="38">
        <f>(B78-'FY2012'!B86)/'FY2012'!B86</f>
        <v>0.16979997656455545</v>
      </c>
      <c r="U78" s="38">
        <f>(C78-'FY2012'!C86)/'FY2012'!C86</f>
        <v>3.6543629934055015E-2</v>
      </c>
      <c r="V78" s="26"/>
    </row>
    <row r="79" spans="1:22" s="5" customFormat="1" ht="12" x14ac:dyDescent="0.2">
      <c r="A79" s="9">
        <v>41275</v>
      </c>
      <c r="B79" s="43">
        <f>32560.93+111031.63+12.82+2632.58+134.34+11.48+1594.76+15822.63+97.07+344.25+302.69+465.7+661655.98</f>
        <v>826666.86</v>
      </c>
      <c r="C79" s="43">
        <f>888901.22-C62</f>
        <v>106211.25000000012</v>
      </c>
      <c r="D79" s="82"/>
      <c r="E79" s="19"/>
      <c r="T79" s="38">
        <f>(B79-'FY2012'!B87)/'FY2012'!B87</f>
        <v>0.26254489128765579</v>
      </c>
      <c r="U79" s="38">
        <f>(C79-'FY2012'!C87)/'FY2012'!C87</f>
        <v>5.9092814567108708E-2</v>
      </c>
      <c r="V79" s="26"/>
    </row>
    <row r="80" spans="1:22" s="5" customFormat="1" ht="12" x14ac:dyDescent="0.2">
      <c r="A80" s="9">
        <v>41306</v>
      </c>
      <c r="B80" s="43">
        <f>29189.26+106429.74+623640.69+10.38+2557.86+102.3+10.66+1298.86+14369.96+85.63+272.46+281.75+435.1</f>
        <v>778684.64999999991</v>
      </c>
      <c r="C80" s="101">
        <f>883100-C63</f>
        <v>106347.09999999998</v>
      </c>
      <c r="D80" s="82"/>
      <c r="E80" s="19"/>
      <c r="T80" s="38">
        <f>(B80-'FY2012'!B88)/'FY2012'!B88</f>
        <v>0.15345543591809532</v>
      </c>
      <c r="U80" s="38">
        <f>(C80-'FY2012'!C88)/'FY2012'!C88</f>
        <v>5.4231608757689835E-2</v>
      </c>
      <c r="V80" s="26"/>
    </row>
    <row r="81" spans="1:22" s="5" customFormat="1" ht="12" x14ac:dyDescent="0.2">
      <c r="A81" s="9">
        <v>41334</v>
      </c>
      <c r="B81" s="43">
        <f>31741+426601.49+11.38+2644.64+100.31+9.63+1125.42+13195.94+75.08+268.21+263.27+393.9+710759.01-99446.14-88125.67-48707.79-66817.28</f>
        <v>884092.4</v>
      </c>
      <c r="C81" s="101">
        <f>987584.01+10-C64</f>
        <v>117957.71000000008</v>
      </c>
      <c r="D81" s="82"/>
      <c r="E81" s="19"/>
      <c r="T81" s="38">
        <f>(B81-'FY2012'!B89)/'FY2012'!B89</f>
        <v>0.19774556362596046</v>
      </c>
      <c r="U81" s="38">
        <f>(C81-'FY2012'!C89)/'FY2012'!C89</f>
        <v>7.6459787569367832E-2</v>
      </c>
      <c r="V81" s="26"/>
    </row>
    <row r="82" spans="1:22" s="5" customFormat="1" ht="12" x14ac:dyDescent="0.2">
      <c r="A82" s="9">
        <v>41365</v>
      </c>
      <c r="B82" s="43">
        <f>32713+476951.64+227.44+278.4+10.22+2207.84+98.7+8.46+1175.79+11510.48+66.17+290.03+669104.01-103703.61-91972.31-50516.97-107162.43</f>
        <v>841286.8600000001</v>
      </c>
      <c r="C82" s="101">
        <f>905736.15-C65</f>
        <v>102334.17000000004</v>
      </c>
      <c r="D82" s="82"/>
      <c r="E82" s="19"/>
      <c r="T82" s="38">
        <f>(B82-'FY2012'!B90)/'FY2012'!B90</f>
        <v>0.10991746467830067</v>
      </c>
      <c r="U82" s="38">
        <f>(C82-'FY2012'!C90)/'FY2012'!C90</f>
        <v>-6.956937573392395E-3</v>
      </c>
      <c r="V82" s="26"/>
    </row>
    <row r="83" spans="1:22" s="5" customFormat="1" ht="12" x14ac:dyDescent="0.2">
      <c r="A83" s="9">
        <v>41395</v>
      </c>
      <c r="B83" s="43">
        <f>756720.5+588512.87+11.17+2820.49+108.84+10.22+1372.92+13280.19+76.57+298.83+282.99+374.5-134300.4-119148.73-139679.26-65848.08</f>
        <v>904893.62000000023</v>
      </c>
      <c r="C83" s="101">
        <f>979188.05-C66</f>
        <v>110128.24000000011</v>
      </c>
      <c r="D83" s="82"/>
      <c r="E83" s="19"/>
      <c r="T83" s="38">
        <f>(B83-'FY2012'!B91)/'FY2012'!B91</f>
        <v>6.8421856823070754E-2</v>
      </c>
      <c r="U83" s="38">
        <f>(C83-'FY2012'!C91)/'FY2012'!C91</f>
        <v>1.8617891111864241E-2</v>
      </c>
      <c r="V83" s="26"/>
    </row>
    <row r="84" spans="1:22" s="5" customFormat="1" ht="12" x14ac:dyDescent="0.2">
      <c r="A84" s="9">
        <v>41426</v>
      </c>
      <c r="B84" s="43">
        <f>41855+616508.58-70371.21-149292.95-141395.67-125424.37+12.25+2809.98+116.65+9.8+1174+11046.74+57.01+316.06+323.75+393+745797.41</f>
        <v>933936.03</v>
      </c>
      <c r="C84" s="101">
        <f>903651.37-C67</f>
        <v>97525.160000000033</v>
      </c>
      <c r="D84" s="82"/>
      <c r="E84" s="19"/>
      <c r="T84" s="38">
        <f>(B84-'FY2012'!B92)/'FY2012'!B92</f>
        <v>6.0504579036462516E-2</v>
      </c>
      <c r="U84" s="38">
        <f>(C84-'FY2012'!C92)/'FY2012'!C92</f>
        <v>-7.8308100611827497E-2</v>
      </c>
      <c r="V84" s="26"/>
    </row>
    <row r="85" spans="1:22" s="5" customFormat="1" ht="12" x14ac:dyDescent="0.2">
      <c r="A85" s="9">
        <v>41456</v>
      </c>
      <c r="B85" s="43">
        <f>41924.84-65029.47-138027.18-130748.8-115982.8+581367.32+17.93+3549.39+164.67+12.15+1307.04+11858.5+65.93+334.25+402.18+502.2+739223.96</f>
        <v>930942.11</v>
      </c>
      <c r="C85" s="101">
        <f>809001.04-C68</f>
        <v>87198.680000000051</v>
      </c>
      <c r="D85" s="82"/>
      <c r="E85" s="19"/>
      <c r="T85" s="38">
        <f>(B85-'FY2012'!B93)/'FY2012'!B93</f>
        <v>9.0910996739707456E-2</v>
      </c>
      <c r="U85" s="38">
        <f>(C85-'FY2012'!C93)/'FY2012'!C93</f>
        <v>-0.12708494212745505</v>
      </c>
      <c r="V85" s="26"/>
    </row>
    <row r="86" spans="1:22" s="5" customFormat="1" ht="12" x14ac:dyDescent="0.2">
      <c r="A86" s="9">
        <v>41487</v>
      </c>
      <c r="B86" s="43">
        <f>44098+494425.15+22.28+4844.1+204.38+17.21+1611.84+15381.39+90.04+300.01+549.79+841.9+755848.48-52860.25-112144.22-108417-96106.17</f>
        <v>948706.93</v>
      </c>
      <c r="C86" s="101">
        <f>931143.03-C69</f>
        <v>114822.63999999978</v>
      </c>
      <c r="D86" s="82"/>
      <c r="E86" s="19"/>
      <c r="T86" s="38">
        <f>(B86-'FY2012'!B94)/'FY2012'!B94</f>
        <v>6.5267091623574233E-2</v>
      </c>
      <c r="U86" s="38">
        <f>(C86-'FY2012'!C94)/'FY2012'!C94</f>
        <v>4.2943449004262467E-2</v>
      </c>
      <c r="V86" s="26"/>
    </row>
    <row r="87" spans="1:22" s="5" customFormat="1" ht="12" x14ac:dyDescent="0.2">
      <c r="A87" s="9">
        <v>41518</v>
      </c>
      <c r="B87" s="43">
        <f>41614+417536.57+695547.35+20.42+5932.96+176.17+16.76+1774.16+17763.5+88.95+371.7+511.22+857.9-45710.51-96991.74-87558.66-77647.68</f>
        <v>874303.06999999937</v>
      </c>
      <c r="C87" s="101">
        <f>867819.3-C70</f>
        <v>89845.10999999987</v>
      </c>
      <c r="D87" s="82"/>
      <c r="E87" s="19"/>
      <c r="T87" s="38">
        <f>(B87-'FY2012'!B95)/'FY2012'!B95</f>
        <v>3.0629474279789914E-2</v>
      </c>
      <c r="U87" s="38">
        <f>(C87-'FY2012'!C95)/'FY2012'!C95</f>
        <v>-0.14315555267329103</v>
      </c>
      <c r="V87" s="26"/>
    </row>
    <row r="88" spans="1:22" s="5" customFormat="1" ht="12" x14ac:dyDescent="0.2">
      <c r="A88" s="109" t="s">
        <v>116</v>
      </c>
      <c r="B88" s="45">
        <f>SUM(B76:B87)</f>
        <v>10338954.579999998</v>
      </c>
      <c r="C88" s="45">
        <f>SUM(C76:C87)</f>
        <v>1258357.8799999999</v>
      </c>
      <c r="D88" s="46"/>
      <c r="E88" s="19"/>
      <c r="T88" s="39">
        <f>AVERAGE(T76:T87)</f>
        <v>0.14024717823261482</v>
      </c>
      <c r="U88" s="39">
        <f>AVERAGE(U76:U87)</f>
        <v>8.0438341416143103E-3</v>
      </c>
      <c r="V88" s="23"/>
    </row>
    <row r="89" spans="1:22" x14ac:dyDescent="0.2">
      <c r="A89" s="81"/>
      <c r="B89" s="21"/>
      <c r="C89" s="21"/>
      <c r="D89" s="21"/>
      <c r="E89" s="21"/>
    </row>
    <row r="90" spans="1:22" s="5" customFormat="1" ht="12" x14ac:dyDescent="0.2">
      <c r="A90" s="19"/>
      <c r="B90" s="19"/>
      <c r="C90" s="19"/>
      <c r="D90" s="19"/>
      <c r="E90" s="19"/>
    </row>
    <row r="91" spans="1:22" s="5" customFormat="1" x14ac:dyDescent="0.2">
      <c r="A91" s="19"/>
      <c r="B91" s="208" t="s">
        <v>46</v>
      </c>
      <c r="C91" s="208"/>
      <c r="D91" s="210"/>
      <c r="E91" s="19"/>
      <c r="T91" s="209" t="s">
        <v>47</v>
      </c>
      <c r="U91" s="209"/>
      <c r="V91" s="209"/>
    </row>
    <row r="92" spans="1:22" s="5" customFormat="1" ht="36" x14ac:dyDescent="0.2">
      <c r="A92" s="126" t="s">
        <v>1</v>
      </c>
      <c r="B92" s="126" t="s">
        <v>48</v>
      </c>
      <c r="C92" s="126" t="s">
        <v>42</v>
      </c>
      <c r="D92" s="126" t="s">
        <v>7</v>
      </c>
      <c r="E92" s="19"/>
      <c r="T92" s="8" t="s">
        <v>70</v>
      </c>
      <c r="U92" s="8" t="s">
        <v>70</v>
      </c>
      <c r="V92" s="8" t="s">
        <v>71</v>
      </c>
    </row>
    <row r="93" spans="1:22" s="5" customFormat="1" ht="12" x14ac:dyDescent="0.2">
      <c r="A93" s="9">
        <v>41183</v>
      </c>
      <c r="B93" s="73">
        <v>2331184</v>
      </c>
      <c r="C93" s="43">
        <v>155236930</v>
      </c>
      <c r="D93" s="43">
        <v>714621</v>
      </c>
      <c r="E93" s="19"/>
      <c r="T93" s="102">
        <f>(B93-'FY2012'!B101)/'FY2012'!B101</f>
        <v>-1.7684987971638931E-3</v>
      </c>
      <c r="U93" s="102">
        <f>(C93-'FY2012'!C101)/'FY2012'!C101</f>
        <v>-5.5429065016369711E-2</v>
      </c>
      <c r="V93" s="102">
        <f>(D93-'FY2012'!D101)/'FY2012'!D101</f>
        <v>2.8116268965497397E-2</v>
      </c>
    </row>
    <row r="94" spans="1:22" s="5" customFormat="1" ht="12" x14ac:dyDescent="0.2">
      <c r="A94" s="9">
        <v>41214</v>
      </c>
      <c r="B94" s="73">
        <v>2180620</v>
      </c>
      <c r="C94" s="43">
        <v>147286122</v>
      </c>
      <c r="D94" s="43">
        <v>662887</v>
      </c>
      <c r="E94" s="19"/>
      <c r="T94" s="102">
        <f>(B94-'FY2012'!B102)/'FY2012'!B102</f>
        <v>-2.0643721214325974E-2</v>
      </c>
      <c r="U94" s="102">
        <f>(C94-'FY2012'!C102)/'FY2012'!C102</f>
        <v>-7.1424984873794742E-2</v>
      </c>
      <c r="V94" s="102">
        <f>(D94-'FY2012'!D102)/'FY2012'!D102</f>
        <v>-1.0395824800647761E-2</v>
      </c>
    </row>
    <row r="95" spans="1:22" s="5" customFormat="1" ht="12" x14ac:dyDescent="0.2">
      <c r="A95" s="9">
        <v>41244</v>
      </c>
      <c r="B95" s="73">
        <v>2229765</v>
      </c>
      <c r="C95" s="43">
        <v>156569265</v>
      </c>
      <c r="D95" s="43">
        <v>684392</v>
      </c>
      <c r="E95" s="19"/>
      <c r="T95" s="102">
        <f>(B95-'FY2012'!B103)/'FY2012'!B103</f>
        <v>-5.5852426460936543E-2</v>
      </c>
      <c r="U95" s="102">
        <f>(C95-'FY2012'!C103)/'FY2012'!C103</f>
        <v>-8.2803282195983458E-2</v>
      </c>
      <c r="V95" s="102">
        <f>(D95-'FY2012'!D103)/'FY2012'!D103</f>
        <v>-4.1250255660247842E-2</v>
      </c>
    </row>
    <row r="96" spans="1:22" s="5" customFormat="1" ht="12" x14ac:dyDescent="0.2">
      <c r="A96" s="9">
        <v>41275</v>
      </c>
      <c r="B96" s="73">
        <v>2324659</v>
      </c>
      <c r="C96" s="43">
        <v>155646321</v>
      </c>
      <c r="D96" s="43">
        <v>714127</v>
      </c>
      <c r="E96" s="19"/>
      <c r="T96" s="102">
        <f>(B96-'FY2012'!B104)/'FY2012'!B104</f>
        <v>1.6775984296051618E-2</v>
      </c>
      <c r="U96" s="102">
        <f>(C96-'FY2012'!C104)/'FY2012'!C104</f>
        <v>-3.7327960286183279E-2</v>
      </c>
      <c r="V96" s="102">
        <f>(D96-'FY2012'!D104)/'FY2012'!D104</f>
        <v>2.9744815781998245E-2</v>
      </c>
    </row>
    <row r="97" spans="1:22" s="5" customFormat="1" ht="12" x14ac:dyDescent="0.2">
      <c r="A97" s="9">
        <v>41306</v>
      </c>
      <c r="B97" s="73">
        <v>2273355</v>
      </c>
      <c r="C97" s="43">
        <v>154387072</v>
      </c>
      <c r="D97" s="43">
        <v>702297</v>
      </c>
      <c r="E97" s="19"/>
      <c r="T97" s="102">
        <f>(B97-'FY2012'!B105)/'FY2012'!B105</f>
        <v>-6.1704451275684566E-2</v>
      </c>
      <c r="U97" s="102">
        <f>(C97-'FY2012'!C105)/'FY2012'!C105</f>
        <v>-0.13151913683680888</v>
      </c>
      <c r="V97" s="102">
        <f>(D97-'FY2012'!D105)/'FY2012'!D105</f>
        <v>-6.741300856982195E-2</v>
      </c>
    </row>
    <row r="98" spans="1:22" s="5" customFormat="1" ht="12" x14ac:dyDescent="0.2">
      <c r="A98" s="9">
        <v>41334</v>
      </c>
      <c r="B98" s="73">
        <v>2648387</v>
      </c>
      <c r="C98" s="43">
        <v>181087013</v>
      </c>
      <c r="D98" s="43">
        <v>831895</v>
      </c>
      <c r="E98" s="19"/>
      <c r="T98" s="102">
        <f>(B98-'FY2012'!B106)/'FY2012'!B106</f>
        <v>-4.4073348818902671E-3</v>
      </c>
      <c r="U98" s="102">
        <f>(C98-'FY2012'!C106)/'FY2012'!C106</f>
        <v>-4.4072575622704259E-2</v>
      </c>
      <c r="V98" s="102">
        <f>(D98-'FY2012'!D106)/'FY2012'!D106</f>
        <v>1.0390420046927112E-2</v>
      </c>
    </row>
    <row r="99" spans="1:22" s="5" customFormat="1" ht="12" x14ac:dyDescent="0.2">
      <c r="A99" s="9">
        <v>41365</v>
      </c>
      <c r="B99" s="73">
        <v>2450890</v>
      </c>
      <c r="C99" s="43">
        <v>161154110</v>
      </c>
      <c r="D99" s="43">
        <v>753678</v>
      </c>
      <c r="E99" s="19"/>
      <c r="T99" s="102">
        <f>(B99-'FY2012'!B107)/'FY2012'!B107</f>
        <v>1.7852886039382003E-2</v>
      </c>
      <c r="U99" s="102">
        <f>(C99-'FY2012'!C107)/'FY2012'!C107</f>
        <v>-2.9239237114386116E-2</v>
      </c>
      <c r="V99" s="102">
        <f>(D99-'FY2012'!D107)/'FY2012'!D107</f>
        <v>1.8310395797472321E-2</v>
      </c>
    </row>
    <row r="100" spans="1:22" s="5" customFormat="1" ht="12" x14ac:dyDescent="0.2">
      <c r="A100" s="9">
        <v>41395</v>
      </c>
      <c r="B100" s="73">
        <v>2652022</v>
      </c>
      <c r="C100" s="43">
        <v>176812116</v>
      </c>
      <c r="D100" s="43">
        <v>821527</v>
      </c>
      <c r="E100" s="19"/>
      <c r="T100" s="102">
        <f>(B100-'FY2012'!B108)/'FY2012'!B108</f>
        <v>3.6150895450428877E-2</v>
      </c>
      <c r="U100" s="102">
        <f>(C100-'FY2012'!C108)/'FY2012'!C108</f>
        <v>2.8607961265185566E-2</v>
      </c>
      <c r="V100" s="102">
        <f>(D100-'FY2012'!D108)/'FY2012'!D108</f>
        <v>4.3362577852737672E-2</v>
      </c>
    </row>
    <row r="101" spans="1:22" s="5" customFormat="1" ht="12" x14ac:dyDescent="0.2">
      <c r="A101" s="9">
        <v>41426</v>
      </c>
      <c r="B101" s="73">
        <v>2607548</v>
      </c>
      <c r="C101" s="43">
        <v>177174622</v>
      </c>
      <c r="D101" s="43">
        <v>826812</v>
      </c>
      <c r="E101" s="19"/>
      <c r="T101" s="102">
        <f>(B101-'FY2012'!B109)/'FY2012'!B109</f>
        <v>1.6088782898069563E-2</v>
      </c>
      <c r="U101" s="102">
        <f>(C101-'FY2012'!C109)/'FY2012'!C109</f>
        <v>-2.8659441391900471E-3</v>
      </c>
      <c r="V101" s="102">
        <f>(D101-'FY2012'!D109)/'FY2012'!D109</f>
        <v>2.4043874218323283E-2</v>
      </c>
    </row>
    <row r="102" spans="1:22" s="5" customFormat="1" ht="12" x14ac:dyDescent="0.2">
      <c r="A102" s="9">
        <v>41456</v>
      </c>
      <c r="B102" s="73">
        <v>2510877</v>
      </c>
      <c r="C102" s="43">
        <v>172676879.97</v>
      </c>
      <c r="D102" s="43">
        <v>792155.5</v>
      </c>
      <c r="E102" s="19"/>
      <c r="T102" s="102">
        <f>(B102-'FY2012'!B110)/'FY2012'!B110</f>
        <v>3.8502150933891199E-2</v>
      </c>
      <c r="U102" s="102">
        <f>(C102-'FY2012'!C110)/'FY2012'!C110</f>
        <v>4.2952171196214847E-2</v>
      </c>
      <c r="V102" s="102">
        <f>(D102-'FY2012'!D110)/'FY2012'!D110</f>
        <v>3.13369857021219E-2</v>
      </c>
    </row>
    <row r="103" spans="1:22" s="5" customFormat="1" ht="12" x14ac:dyDescent="0.2">
      <c r="A103" s="9">
        <v>41487</v>
      </c>
      <c r="B103" s="73">
        <v>2601363</v>
      </c>
      <c r="C103" s="43">
        <v>177338591</v>
      </c>
      <c r="D103" s="43">
        <v>814111</v>
      </c>
      <c r="E103" s="19"/>
      <c r="T103" s="102">
        <f>(B103-'FY2012'!B111)/'FY2012'!B111</f>
        <v>4.5237808381679671E-3</v>
      </c>
      <c r="U103" s="102">
        <f>(C103-'FY2012'!C111)/'FY2012'!C111</f>
        <v>2.1470644482544047E-2</v>
      </c>
      <c r="V103" s="102">
        <f>(D103-'FY2012'!D111)/'FY2012'!D111</f>
        <v>1.5296562360291021E-2</v>
      </c>
    </row>
    <row r="104" spans="1:22" s="5" customFormat="1" ht="12" x14ac:dyDescent="0.2">
      <c r="A104" s="9">
        <v>41518</v>
      </c>
      <c r="B104" s="73">
        <v>2340406</v>
      </c>
      <c r="C104" s="43">
        <v>158260609</v>
      </c>
      <c r="D104" s="43">
        <v>726496</v>
      </c>
      <c r="E104" s="19"/>
      <c r="T104" s="102">
        <f>(B104-'FY2012'!B112)/'FY2012'!B112</f>
        <v>-8.0696909359230934E-3</v>
      </c>
      <c r="U104" s="102">
        <f>(C104-'FY2012'!C112)/'FY2012'!C112</f>
        <v>-1.6606993263156237E-2</v>
      </c>
      <c r="V104" s="102">
        <f>(D104-'FY2012'!D112)/'FY2012'!D112</f>
        <v>-6.1015984546265436E-3</v>
      </c>
    </row>
    <row r="105" spans="1:22" s="5" customFormat="1" ht="12" x14ac:dyDescent="0.2">
      <c r="A105" s="109" t="s">
        <v>116</v>
      </c>
      <c r="B105" s="74">
        <f>SUM(B93:B104)</f>
        <v>29151076</v>
      </c>
      <c r="C105" s="45">
        <f>SUM(C93:C104)</f>
        <v>1973629650.97</v>
      </c>
      <c r="D105" s="45">
        <f>SUM(D93:D104)</f>
        <v>9044998.5</v>
      </c>
      <c r="E105" s="19"/>
      <c r="T105" s="103">
        <f>AVERAGE(T93:T104)</f>
        <v>-1.8793035924944254E-3</v>
      </c>
      <c r="U105" s="103">
        <f>AVERAGE(U93:U104)</f>
        <v>-3.1521533533719358E-2</v>
      </c>
      <c r="V105" s="103">
        <f>AVERAGE(V93:V104)</f>
        <v>6.2867677700020712E-3</v>
      </c>
    </row>
    <row r="106" spans="1:22" x14ac:dyDescent="0.2">
      <c r="B106" s="21"/>
      <c r="C106" s="21"/>
      <c r="D106" s="21"/>
      <c r="E106" s="21"/>
    </row>
    <row r="107" spans="1:22" x14ac:dyDescent="0.2">
      <c r="A107" s="59"/>
      <c r="B107" s="21"/>
      <c r="C107" s="21"/>
      <c r="D107" s="21"/>
      <c r="E107" s="21"/>
    </row>
    <row r="108" spans="1:22" x14ac:dyDescent="0.2">
      <c r="A108" s="59"/>
      <c r="B108" s="21"/>
      <c r="C108" s="21"/>
      <c r="D108" s="21"/>
      <c r="E108" s="21"/>
    </row>
    <row r="109" spans="1:22" s="5" customFormat="1" x14ac:dyDescent="0.2">
      <c r="A109" s="19"/>
      <c r="B109" s="208" t="s">
        <v>114</v>
      </c>
      <c r="C109" s="208"/>
      <c r="D109" s="210"/>
      <c r="E109" s="19"/>
      <c r="T109" s="209" t="s">
        <v>57</v>
      </c>
      <c r="U109" s="209"/>
      <c r="V109" s="209"/>
    </row>
    <row r="110" spans="1:22" s="5" customFormat="1" ht="36" x14ac:dyDescent="0.2">
      <c r="A110" s="126" t="s">
        <v>1</v>
      </c>
      <c r="B110" s="126" t="s">
        <v>2</v>
      </c>
      <c r="C110" s="126" t="s">
        <v>3</v>
      </c>
      <c r="D110" s="94"/>
      <c r="E110" s="19"/>
      <c r="T110" s="8" t="s">
        <v>9</v>
      </c>
      <c r="U110" s="8" t="s">
        <v>10</v>
      </c>
      <c r="V110" s="54"/>
    </row>
    <row r="111" spans="1:22" s="5" customFormat="1" ht="12" x14ac:dyDescent="0.2">
      <c r="A111" s="9">
        <v>41183</v>
      </c>
      <c r="B111" s="31">
        <f t="shared" ref="B111:B123" si="4">(B76+B59)/B25</f>
        <v>1.7159501721368904</v>
      </c>
      <c r="C111" s="31">
        <f t="shared" ref="C111:C123" si="5">C59/C25</f>
        <v>0.25478361122629961</v>
      </c>
      <c r="D111" s="92"/>
      <c r="E111" s="19"/>
      <c r="T111" s="38">
        <f>(B111-'FY2012'!B119)/'FY2012'!B119</f>
        <v>-8.3103411383665879E-3</v>
      </c>
      <c r="U111" s="38">
        <f>(C111-'FY2012'!C119)/'FY2012'!C119</f>
        <v>2.3234203228982477E-2</v>
      </c>
      <c r="V111" s="26"/>
    </row>
    <row r="112" spans="1:22" s="5" customFormat="1" ht="12" x14ac:dyDescent="0.2">
      <c r="A112" s="9">
        <v>41214</v>
      </c>
      <c r="B112" s="31">
        <f t="shared" si="4"/>
        <v>1.8778543648611281</v>
      </c>
      <c r="C112" s="31">
        <f t="shared" si="5"/>
        <v>0.25993983819894168</v>
      </c>
      <c r="D112" s="92"/>
      <c r="E112" s="19"/>
      <c r="T112" s="38">
        <f>(B112-'FY2012'!B120)/'FY2012'!B120</f>
        <v>3.9026517064278968E-2</v>
      </c>
      <c r="U112" s="38">
        <f>(C112-'FY2012'!C120)/'FY2012'!C120</f>
        <v>-5.3574111787604438E-4</v>
      </c>
      <c r="V112" s="26"/>
    </row>
    <row r="113" spans="1:22" s="5" customFormat="1" ht="12" x14ac:dyDescent="0.2">
      <c r="A113" s="9">
        <v>41244</v>
      </c>
      <c r="B113" s="31">
        <f t="shared" si="4"/>
        <v>1.9204200089145527</v>
      </c>
      <c r="C113" s="31">
        <f t="shared" si="5"/>
        <v>0.25548100520536632</v>
      </c>
      <c r="D113" s="92"/>
      <c r="E113" s="19"/>
      <c r="T113" s="38">
        <f>(B113-'FY2012'!B121)/'FY2012'!B121</f>
        <v>4.9406069451747442E-2</v>
      </c>
      <c r="U113" s="38">
        <f>(C113-'FY2012'!C121)/'FY2012'!C121</f>
        <v>-2.7115732667469722E-2</v>
      </c>
      <c r="V113" s="26"/>
    </row>
    <row r="114" spans="1:22" s="5" customFormat="1" ht="12" x14ac:dyDescent="0.2">
      <c r="A114" s="9">
        <v>41275</v>
      </c>
      <c r="B114" s="31">
        <f t="shared" si="4"/>
        <v>1.8671037735953127</v>
      </c>
      <c r="C114" s="31">
        <f t="shared" si="5"/>
        <v>0.2547027941192741</v>
      </c>
      <c r="D114" s="92"/>
      <c r="E114" s="19"/>
      <c r="T114" s="38">
        <f>(B114-'FY2012'!B122)/'FY2012'!B122</f>
        <v>0.10266696042642981</v>
      </c>
      <c r="U114" s="38">
        <f>(C114-'FY2012'!C122)/'FY2012'!C122</f>
        <v>5.4213993060918389E-3</v>
      </c>
      <c r="V114" s="26"/>
    </row>
    <row r="115" spans="1:22" s="5" customFormat="1" ht="12" x14ac:dyDescent="0.2">
      <c r="A115" s="9">
        <v>41306</v>
      </c>
      <c r="B115" s="31">
        <f t="shared" si="4"/>
        <v>1.7733051655840182</v>
      </c>
      <c r="C115" s="31">
        <f t="shared" si="5"/>
        <v>0.25628219806324959</v>
      </c>
      <c r="D115" s="92"/>
      <c r="E115" s="19"/>
      <c r="T115" s="38">
        <f>(B115-'FY2012'!B123)/'FY2012'!B123</f>
        <v>7.2053403579545885E-2</v>
      </c>
      <c r="U115" s="38">
        <f>(C115-'FY2012'!C123)/'FY2012'!C123</f>
        <v>-4.3971889716665352E-3</v>
      </c>
      <c r="V115" s="26"/>
    </row>
    <row r="116" spans="1:22" s="5" customFormat="1" ht="12" x14ac:dyDescent="0.2">
      <c r="A116" s="9">
        <v>41334</v>
      </c>
      <c r="B116" s="31">
        <f t="shared" si="4"/>
        <v>1.7696216851515925</v>
      </c>
      <c r="C116" s="31">
        <f t="shared" si="5"/>
        <v>0.2544229745824621</v>
      </c>
      <c r="D116" s="92"/>
      <c r="E116" s="19"/>
      <c r="T116" s="38">
        <f>(B116-'FY2012'!B124)/'FY2012'!B124</f>
        <v>6.6546776579579969E-2</v>
      </c>
      <c r="U116" s="38">
        <f>(C116-'FY2012'!C124)/'FY2012'!C124</f>
        <v>-2.8514396526166504E-2</v>
      </c>
      <c r="V116" s="26"/>
    </row>
    <row r="117" spans="1:22" s="5" customFormat="1" ht="12" x14ac:dyDescent="0.2">
      <c r="A117" s="9">
        <v>41365</v>
      </c>
      <c r="B117" s="31">
        <f t="shared" si="4"/>
        <v>1.8451038878691006</v>
      </c>
      <c r="C117" s="31">
        <f t="shared" si="5"/>
        <v>0.25862832040731443</v>
      </c>
      <c r="D117" s="92"/>
      <c r="E117" s="19"/>
      <c r="T117" s="38">
        <f>(B117-'FY2012'!B125)/'FY2012'!B125</f>
        <v>0.10061285016470646</v>
      </c>
      <c r="U117" s="38">
        <f>(C117-'FY2012'!C125)/'FY2012'!C125</f>
        <v>3.4607320214673665E-2</v>
      </c>
      <c r="V117" s="26"/>
    </row>
    <row r="118" spans="1:22" s="5" customFormat="1" ht="12" x14ac:dyDescent="0.2">
      <c r="A118" s="9">
        <v>41395</v>
      </c>
      <c r="B118" s="31">
        <f t="shared" si="4"/>
        <v>1.8436431003739613</v>
      </c>
      <c r="C118" s="31">
        <f t="shared" si="5"/>
        <v>0.26122901143797722</v>
      </c>
      <c r="D118" s="92"/>
      <c r="E118" s="19"/>
      <c r="T118" s="38">
        <f>(B118-'FY2012'!B126)/'FY2012'!B126</f>
        <v>6.4249088080328504E-2</v>
      </c>
      <c r="U118" s="38">
        <f>(C118-'FY2012'!C126)/'FY2012'!C126</f>
        <v>1.1841733796083123E-2</v>
      </c>
      <c r="V118" s="26"/>
    </row>
    <row r="119" spans="1:22" s="5" customFormat="1" ht="12" x14ac:dyDescent="0.2">
      <c r="A119" s="9">
        <v>41426</v>
      </c>
      <c r="B119" s="31">
        <f t="shared" si="4"/>
        <v>1.822458092223022</v>
      </c>
      <c r="C119" s="31">
        <f t="shared" si="5"/>
        <v>0.2537336314708864</v>
      </c>
      <c r="D119" s="92"/>
      <c r="E119" s="19"/>
      <c r="T119" s="38">
        <f>(B119-'FY2012'!B127)/'FY2012'!B127</f>
        <v>2.1726747324754696E-2</v>
      </c>
      <c r="U119" s="38">
        <f>(C119-'FY2012'!C127)/'FY2012'!C127</f>
        <v>-2.1260576972681786E-2</v>
      </c>
      <c r="V119" s="26"/>
    </row>
    <row r="120" spans="1:22" s="5" customFormat="1" ht="12" x14ac:dyDescent="0.2">
      <c r="A120" s="9">
        <v>41456</v>
      </c>
      <c r="B120" s="31">
        <f t="shared" si="4"/>
        <v>1.8609606337600413</v>
      </c>
      <c r="C120" s="31">
        <f>C68/C34</f>
        <v>0.2581516573439579</v>
      </c>
      <c r="D120" s="92"/>
      <c r="E120" s="19"/>
      <c r="T120" s="38">
        <f>(B120-'FY2012'!B128)/'FY2012'!B128</f>
        <v>6.7892729802007723E-2</v>
      </c>
      <c r="U120" s="38">
        <f>(C120-'FY2012'!C128)/'FY2012'!C128</f>
        <v>2.1935208756011293E-2</v>
      </c>
      <c r="V120" s="26"/>
    </row>
    <row r="121" spans="1:22" s="5" customFormat="1" ht="12" x14ac:dyDescent="0.2">
      <c r="A121" s="9">
        <v>41487</v>
      </c>
      <c r="B121" s="31">
        <f t="shared" si="4"/>
        <v>1.8116856830922654</v>
      </c>
      <c r="C121" s="31">
        <f>C69/C35</f>
        <v>0.25925854796607978</v>
      </c>
      <c r="D121" s="92"/>
      <c r="E121" s="19"/>
      <c r="T121" s="38">
        <f>(B121-'FY2012'!B129)/'FY2012'!B129</f>
        <v>-8.5264412368360361E-3</v>
      </c>
      <c r="U121" s="38">
        <f>(C121-'FY2012'!C129)/'FY2012'!C129</f>
        <v>-8.2370984685638908E-3</v>
      </c>
      <c r="V121" s="26"/>
    </row>
    <row r="122" spans="1:22" s="5" customFormat="1" ht="12" x14ac:dyDescent="0.2">
      <c r="A122" s="9">
        <v>41518</v>
      </c>
      <c r="B122" s="31">
        <f t="shared" si="4"/>
        <v>1.914673422569906</v>
      </c>
      <c r="C122" s="31">
        <f>C70/C36</f>
        <v>0.25184819653875296</v>
      </c>
      <c r="D122" s="92"/>
      <c r="E122" s="19"/>
      <c r="T122" s="38">
        <f>(B122-'FY2012'!B130)/'FY2012'!B130</f>
        <v>3.1023655656552043E-2</v>
      </c>
      <c r="U122" s="38">
        <f>(C122-'FY2012'!C130)/'FY2012'!C130</f>
        <v>-4.1305087975031561E-3</v>
      </c>
      <c r="V122" s="26"/>
    </row>
    <row r="123" spans="1:22" s="5" customFormat="1" ht="12" x14ac:dyDescent="0.2">
      <c r="A123" s="109" t="s">
        <v>116</v>
      </c>
      <c r="B123" s="32">
        <f t="shared" si="4"/>
        <v>1.8343677989275398</v>
      </c>
      <c r="C123" s="32">
        <f t="shared" si="5"/>
        <v>0.25653920042339368</v>
      </c>
      <c r="D123" s="93"/>
      <c r="E123" s="19"/>
      <c r="T123" s="39">
        <f>AVERAGE(T111:T122)</f>
        <v>4.9864001312894084E-2</v>
      </c>
      <c r="U123" s="39">
        <f>AVERAGE(U111:U122)</f>
        <v>2.3738514832622997E-4</v>
      </c>
      <c r="V123" s="23"/>
    </row>
    <row r="124" spans="1:22" s="5" customFormat="1" ht="12" x14ac:dyDescent="0.2">
      <c r="A124" s="59" t="s">
        <v>35</v>
      </c>
      <c r="B124" s="88"/>
      <c r="C124" s="88"/>
      <c r="D124" s="88"/>
      <c r="E124" s="19"/>
      <c r="T124" s="51"/>
      <c r="U124" s="51"/>
      <c r="V124" s="18"/>
    </row>
    <row r="125" spans="1:22" x14ac:dyDescent="0.2">
      <c r="B125" s="21"/>
      <c r="C125" s="21"/>
      <c r="D125" s="21"/>
      <c r="E125" s="21"/>
    </row>
    <row r="126" spans="1:22" s="5" customFormat="1" x14ac:dyDescent="0.2">
      <c r="A126" s="19"/>
      <c r="B126" s="208" t="s">
        <v>53</v>
      </c>
      <c r="C126" s="208"/>
      <c r="D126" s="210"/>
      <c r="E126" s="19"/>
      <c r="T126" s="209" t="s">
        <v>31</v>
      </c>
      <c r="U126" s="209"/>
      <c r="V126" s="209"/>
    </row>
    <row r="127" spans="1:22" s="5" customFormat="1" ht="36" x14ac:dyDescent="0.2">
      <c r="A127" s="126" t="s">
        <v>1</v>
      </c>
      <c r="B127" s="126" t="s">
        <v>56</v>
      </c>
      <c r="C127" s="126" t="s">
        <v>3</v>
      </c>
      <c r="D127" s="94"/>
      <c r="E127" s="19"/>
      <c r="T127" s="8" t="s">
        <v>9</v>
      </c>
      <c r="U127" s="8" t="s">
        <v>10</v>
      </c>
      <c r="V127" s="54"/>
    </row>
    <row r="128" spans="1:22" s="5" customFormat="1" ht="12" x14ac:dyDescent="0.2">
      <c r="A128" s="9">
        <v>41183</v>
      </c>
      <c r="B128" s="90">
        <f t="shared" ref="B128:C139" si="6">B76/B25</f>
        <v>0.1324117323875196</v>
      </c>
      <c r="C128" s="90">
        <f t="shared" si="6"/>
        <v>3.4924660237043437E-2</v>
      </c>
      <c r="D128" s="92"/>
      <c r="E128" s="19"/>
      <c r="T128" s="38">
        <f>(B128-'FY2012'!B136)/'FY2012'!B136</f>
        <v>0.20470405687726506</v>
      </c>
      <c r="U128" s="38">
        <f>(C128-'FY2012'!C136)/'FY2012'!C136</f>
        <v>-7.6576263920960161E-3</v>
      </c>
      <c r="V128" s="26"/>
    </row>
    <row r="129" spans="1:22" s="5" customFormat="1" ht="12" x14ac:dyDescent="0.2">
      <c r="A129" s="9">
        <v>41214</v>
      </c>
      <c r="B129" s="90">
        <f t="shared" ref="B129:B139" si="7">B77/B26</f>
        <v>0.13314241338693128</v>
      </c>
      <c r="C129" s="90">
        <f t="shared" si="6"/>
        <v>3.503222953628124E-2</v>
      </c>
      <c r="D129" s="92"/>
      <c r="E129" s="19"/>
      <c r="T129" s="38">
        <f>(B129-'FY2012'!B137)/'FY2012'!B137</f>
        <v>0.16801823675766439</v>
      </c>
      <c r="U129" s="38">
        <f>(C129-'FY2012'!C137)/'FY2012'!C137</f>
        <v>-4.1464449366909482E-2</v>
      </c>
      <c r="V129" s="26"/>
    </row>
    <row r="130" spans="1:22" s="5" customFormat="1" ht="12" x14ac:dyDescent="0.2">
      <c r="A130" s="9">
        <v>41244</v>
      </c>
      <c r="B130" s="90">
        <f t="shared" si="7"/>
        <v>0.13592377648785006</v>
      </c>
      <c r="C130" s="90">
        <f t="shared" si="6"/>
        <v>3.4534808001367989E-2</v>
      </c>
      <c r="D130" s="92"/>
      <c r="E130" s="19"/>
      <c r="T130" s="38">
        <f>(B130-'FY2012'!B138)/'FY2012'!B138</f>
        <v>0.17889740420353661</v>
      </c>
      <c r="U130" s="38">
        <f>(C130-'FY2012'!C138)/'FY2012'!C138</f>
        <v>-5.7329787575770848E-2</v>
      </c>
      <c r="V130" s="26"/>
    </row>
    <row r="131" spans="1:22" s="5" customFormat="1" ht="12" x14ac:dyDescent="0.2">
      <c r="A131" s="9">
        <v>41275</v>
      </c>
      <c r="B131" s="90">
        <f t="shared" si="7"/>
        <v>0.13027852228258635</v>
      </c>
      <c r="C131" s="90">
        <f t="shared" si="6"/>
        <v>3.4563241102860673E-2</v>
      </c>
      <c r="D131" s="92"/>
      <c r="E131" s="19"/>
      <c r="T131" s="38">
        <f>(B131-'FY2012'!B139)/'FY2012'!B139</f>
        <v>0.18084573165220874</v>
      </c>
      <c r="U131" s="38">
        <f>(C131-'FY2012'!C139)/'FY2012'!C139</f>
        <v>-4.3956080790357475E-2</v>
      </c>
      <c r="V131" s="26"/>
    </row>
    <row r="132" spans="1:22" s="5" customFormat="1" ht="12" x14ac:dyDescent="0.2">
      <c r="A132" s="9">
        <v>41306</v>
      </c>
      <c r="B132" s="90">
        <f t="shared" si="7"/>
        <v>0.12791124555353051</v>
      </c>
      <c r="C132" s="90">
        <f t="shared" si="6"/>
        <v>3.5088209578171131E-2</v>
      </c>
      <c r="D132" s="92"/>
      <c r="E132" s="19"/>
      <c r="T132" s="38">
        <f>(B132-'FY2012'!B140)/'FY2012'!B140</f>
        <v>0.16206320625707563</v>
      </c>
      <c r="U132" s="38">
        <f>(C132-'FY2012'!C140)/'FY2012'!C140</f>
        <v>-2.3493906647743763E-2</v>
      </c>
      <c r="V132" s="26"/>
    </row>
    <row r="133" spans="1:22" s="5" customFormat="1" ht="12" x14ac:dyDescent="0.2">
      <c r="A133" s="9">
        <v>41334</v>
      </c>
      <c r="B133" s="90">
        <f t="shared" si="7"/>
        <v>0.12607106784581182</v>
      </c>
      <c r="C133" s="90">
        <f t="shared" si="6"/>
        <v>3.4510003150898208E-2</v>
      </c>
      <c r="D133" s="92"/>
      <c r="E133" s="19"/>
      <c r="T133" s="38">
        <f>(B133-'FY2012'!B141)/'FY2012'!B141</f>
        <v>0.16068738795380921</v>
      </c>
      <c r="U133" s="38">
        <f>(C133-'FY2012'!C141)/'FY2012'!C141</f>
        <v>-5.631796706534762E-2</v>
      </c>
      <c r="V133" s="26"/>
    </row>
    <row r="134" spans="1:22" s="5" customFormat="1" ht="12" x14ac:dyDescent="0.2">
      <c r="A134" s="9">
        <v>41365</v>
      </c>
      <c r="B134" s="90">
        <f t="shared" si="7"/>
        <v>0.1262287138574075</v>
      </c>
      <c r="C134" s="90">
        <f t="shared" si="6"/>
        <v>3.294305362226839E-2</v>
      </c>
      <c r="D134" s="92"/>
      <c r="E134" s="19"/>
      <c r="T134" s="38">
        <f>(B134-'FY2012'!B142)/'FY2012'!B142</f>
        <v>7.0293530661278456E-2</v>
      </c>
      <c r="U134" s="38">
        <f>(C134-'FY2012'!C142)/'FY2012'!C142</f>
        <v>-7.5855302762342786E-2</v>
      </c>
      <c r="V134" s="26"/>
    </row>
    <row r="135" spans="1:22" s="5" customFormat="1" ht="12" x14ac:dyDescent="0.2">
      <c r="A135" s="9">
        <v>41395</v>
      </c>
      <c r="B135" s="90">
        <f t="shared" si="7"/>
        <v>0.12503046611448751</v>
      </c>
      <c r="C135" s="90">
        <f t="shared" si="6"/>
        <v>3.3103235169285219E-2</v>
      </c>
      <c r="D135" s="92"/>
      <c r="E135" s="19"/>
      <c r="T135" s="38">
        <f>(B135-'FY2012'!B143)/'FY2012'!B143</f>
        <v>4.4941446424130081E-2</v>
      </c>
      <c r="U135" s="38">
        <f>(C135-'FY2012'!C143)/'FY2012'!C143</f>
        <v>-6.7383791727828227E-2</v>
      </c>
      <c r="V135" s="26"/>
    </row>
    <row r="136" spans="1:22" s="5" customFormat="1" ht="12" x14ac:dyDescent="0.2">
      <c r="A136" s="9">
        <v>41426</v>
      </c>
      <c r="B136" s="90">
        <f t="shared" si="7"/>
        <v>0.13011263873130652</v>
      </c>
      <c r="C136" s="90">
        <f t="shared" si="6"/>
        <v>3.0696698233616846E-2</v>
      </c>
      <c r="D136" s="92"/>
      <c r="E136" s="19"/>
      <c r="T136" s="38">
        <f>(B136-'FY2012'!B144)/'FY2012'!B144</f>
        <v>5.1403738309212813E-2</v>
      </c>
      <c r="U136" s="38">
        <f>(C136-'FY2012'!C144)/'FY2012'!C144</f>
        <v>-0.12448006181844889</v>
      </c>
      <c r="V136" s="26"/>
    </row>
    <row r="137" spans="1:22" s="5" customFormat="1" ht="12" x14ac:dyDescent="0.2">
      <c r="A137" s="9">
        <v>41456</v>
      </c>
      <c r="B137" s="90">
        <f t="shared" si="7"/>
        <v>0.13239724744507911</v>
      </c>
      <c r="C137" s="90">
        <f t="shared" si="6"/>
        <v>3.1186492324859462E-2</v>
      </c>
      <c r="D137" s="92"/>
      <c r="E137" s="19"/>
      <c r="T137" s="38">
        <f>(B137-'FY2012'!B145)/'FY2012'!B145</f>
        <v>8.6443671206665532E-2</v>
      </c>
      <c r="U137" s="38">
        <f>(C137-'FY2012'!C145)/'FY2012'!C145</f>
        <v>-8.5241814212067113E-2</v>
      </c>
      <c r="V137" s="26"/>
    </row>
    <row r="138" spans="1:22" s="5" customFormat="1" ht="12" x14ac:dyDescent="0.2">
      <c r="A138" s="9">
        <v>41487</v>
      </c>
      <c r="B138" s="90">
        <f t="shared" si="7"/>
        <v>0.13241759657467059</v>
      </c>
      <c r="C138" s="90">
        <f t="shared" si="6"/>
        <v>3.646699419088606E-2</v>
      </c>
      <c r="D138" s="92"/>
      <c r="E138" s="19"/>
      <c r="T138" s="38">
        <f>(B138-'FY2012'!B146)/'FY2012'!B146</f>
        <v>5.6212666000557417E-2</v>
      </c>
      <c r="U138" s="38">
        <f>(C138-'FY2012'!C146)/'FY2012'!C146</f>
        <v>3.6728861147658179E-2</v>
      </c>
      <c r="V138" s="26"/>
    </row>
    <row r="139" spans="1:22" s="5" customFormat="1" ht="12" x14ac:dyDescent="0.2">
      <c r="A139" s="9">
        <v>41518</v>
      </c>
      <c r="B139" s="90">
        <f t="shared" si="7"/>
        <v>0.13551222682401085</v>
      </c>
      <c r="C139" s="90">
        <f t="shared" si="6"/>
        <v>2.9084935223012785E-2</v>
      </c>
      <c r="D139" s="92"/>
      <c r="E139" s="19"/>
      <c r="T139" s="38">
        <f>(B139-'FY2012'!B147)/'FY2012'!B147</f>
        <v>1.2555948269769357E-2</v>
      </c>
      <c r="U139" s="38">
        <f>(C139-'FY2012'!C147)/'FY2012'!C147</f>
        <v>-0.13535007050467865</v>
      </c>
      <c r="V139" s="26"/>
    </row>
    <row r="140" spans="1:22" s="5" customFormat="1" ht="12" x14ac:dyDescent="0.2">
      <c r="A140" s="109" t="s">
        <v>116</v>
      </c>
      <c r="B140" s="91">
        <f>AVERAGE(B128:B139)</f>
        <v>0.13061980395759928</v>
      </c>
      <c r="C140" s="104">
        <f>AVERAGE(C128:C139)</f>
        <v>3.3511213364212623E-2</v>
      </c>
      <c r="D140" s="93"/>
      <c r="E140" s="19"/>
      <c r="T140" s="39">
        <f>AVERAGE(T128:T139)</f>
        <v>0.11475558538109776</v>
      </c>
      <c r="U140" s="39">
        <f>AVERAGE(U128:U139)</f>
        <v>-5.6816833142994384E-2</v>
      </c>
      <c r="V140" s="23"/>
    </row>
    <row r="141" spans="1:22" x14ac:dyDescent="0.2">
      <c r="A141" s="59" t="s">
        <v>115</v>
      </c>
      <c r="B141" s="21"/>
      <c r="C141" s="21"/>
      <c r="D141" s="21"/>
      <c r="E141" s="21"/>
    </row>
    <row r="142" spans="1:22" x14ac:dyDescent="0.2">
      <c r="A142" s="21"/>
      <c r="B142" s="21"/>
      <c r="C142" s="21"/>
      <c r="D142" s="21"/>
      <c r="E142" s="21"/>
    </row>
    <row r="143" spans="1:22" ht="15.75" x14ac:dyDescent="0.25">
      <c r="A143" s="207" t="s">
        <v>14</v>
      </c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5"/>
      <c r="T143" s="205"/>
      <c r="U143" s="205"/>
      <c r="V143" s="205"/>
    </row>
    <row r="145" spans="1:22" x14ac:dyDescent="0.2">
      <c r="A145" s="5"/>
      <c r="B145" s="202" t="s">
        <v>16</v>
      </c>
      <c r="C145" s="202"/>
      <c r="D145" s="202"/>
      <c r="T145" s="203" t="s">
        <v>14</v>
      </c>
      <c r="U145" s="203"/>
      <c r="V145" s="203"/>
    </row>
    <row r="146" spans="1:22" ht="36" x14ac:dyDescent="0.2">
      <c r="A146" s="124" t="s">
        <v>1</v>
      </c>
      <c r="B146" s="37" t="s">
        <v>27</v>
      </c>
      <c r="C146" s="37" t="s">
        <v>26</v>
      </c>
      <c r="D146" s="37" t="s">
        <v>25</v>
      </c>
      <c r="T146" s="8" t="s">
        <v>18</v>
      </c>
      <c r="U146" s="8" t="s">
        <v>19</v>
      </c>
      <c r="V146" s="8" t="s">
        <v>11</v>
      </c>
    </row>
    <row r="147" spans="1:22" x14ac:dyDescent="0.2">
      <c r="A147" s="9">
        <v>41183</v>
      </c>
      <c r="B147" s="10">
        <v>0</v>
      </c>
      <c r="C147" s="10">
        <v>87</v>
      </c>
      <c r="D147" s="10">
        <v>87</v>
      </c>
      <c r="T147" s="38">
        <f>(B147-'FY2012'!B155)/'FY2012'!B155</f>
        <v>-1</v>
      </c>
      <c r="U147" s="38">
        <f>(C147-'FY2012'!C155)/'FY2012'!C155</f>
        <v>5.2142857142857144</v>
      </c>
      <c r="V147" s="38">
        <f>(D147-'FY2012'!D155)/'FY2012'!D155</f>
        <v>2.2222222222222223</v>
      </c>
    </row>
    <row r="148" spans="1:22" x14ac:dyDescent="0.2">
      <c r="A148" s="9">
        <v>41214</v>
      </c>
      <c r="B148" s="10">
        <v>5</v>
      </c>
      <c r="C148" s="10">
        <v>10</v>
      </c>
      <c r="D148" s="10">
        <v>15</v>
      </c>
      <c r="T148" s="38">
        <f>(B148-'FY2012'!B156)/'FY2012'!B156</f>
        <v>0.25</v>
      </c>
      <c r="U148" s="38">
        <f>(C148-'FY2012'!C156)/'FY2012'!C156</f>
        <v>0.1111111111111111</v>
      </c>
      <c r="V148" s="38">
        <f>(D148-'FY2012'!D156)/'FY2012'!D156</f>
        <v>0.15384615384615385</v>
      </c>
    </row>
    <row r="149" spans="1:22" x14ac:dyDescent="0.2">
      <c r="A149" s="9">
        <v>41244</v>
      </c>
      <c r="B149" s="10">
        <v>3</v>
      </c>
      <c r="C149" s="10">
        <v>79</v>
      </c>
      <c r="D149" s="10">
        <v>82</v>
      </c>
      <c r="T149" s="38">
        <f>(B149-'FY2012'!B157)/'FY2012'!B157</f>
        <v>-0.4</v>
      </c>
      <c r="U149" s="38">
        <f>(C149-'FY2012'!C157)/'FY2012'!C157</f>
        <v>7.7777777777777777</v>
      </c>
      <c r="V149" s="38">
        <f>(D149-'FY2012'!D157)/'FY2012'!D157</f>
        <v>3.3157894736842106</v>
      </c>
    </row>
    <row r="150" spans="1:22" x14ac:dyDescent="0.2">
      <c r="A150" s="9">
        <v>41275</v>
      </c>
      <c r="B150" s="10">
        <v>4</v>
      </c>
      <c r="C150" s="10">
        <v>161</v>
      </c>
      <c r="D150" s="10">
        <v>166</v>
      </c>
      <c r="T150" s="38">
        <f>(B150-'FY2012'!B158)/'FY2012'!B158</f>
        <v>0</v>
      </c>
      <c r="U150" s="38">
        <f>(C150-'FY2012'!C158)/'FY2012'!C158</f>
        <v>1.728813559322034</v>
      </c>
      <c r="V150" s="38">
        <f>(D150-'FY2012'!D158)/'FY2012'!D158</f>
        <v>1.5151515151515151</v>
      </c>
    </row>
    <row r="151" spans="1:22" x14ac:dyDescent="0.2">
      <c r="A151" s="9">
        <v>41306</v>
      </c>
      <c r="B151" s="10">
        <v>5</v>
      </c>
      <c r="C151" s="10">
        <v>10</v>
      </c>
      <c r="D151" s="10">
        <v>15</v>
      </c>
      <c r="T151" s="38">
        <f>(B151-'FY2012'!B159)/'FY2012'!B159</f>
        <v>0.66666666666666663</v>
      </c>
      <c r="U151" s="38">
        <f>(C151-'FY2012'!C159)/'FY2012'!C159</f>
        <v>-0.90740740740740744</v>
      </c>
      <c r="V151" s="38">
        <f>(D151-'FY2012'!D159)/'FY2012'!D159</f>
        <v>-0.86842105263157898</v>
      </c>
    </row>
    <row r="152" spans="1:22" x14ac:dyDescent="0.2">
      <c r="A152" s="9">
        <v>41334</v>
      </c>
      <c r="B152" s="10">
        <v>29</v>
      </c>
      <c r="C152" s="10">
        <v>3</v>
      </c>
      <c r="D152" s="10">
        <v>32</v>
      </c>
      <c r="T152" s="38">
        <f>(B152-'FY2012'!B160)/'FY2012'!B160</f>
        <v>8.6666666666666661</v>
      </c>
      <c r="U152" s="38">
        <f>(C152-'FY2012'!C160)/'FY2012'!C160</f>
        <v>-0.95161290322580649</v>
      </c>
      <c r="V152" s="38">
        <f>(D152-'FY2012'!D160)/'FY2012'!D160</f>
        <v>-0.51515151515151514</v>
      </c>
    </row>
    <row r="153" spans="1:22" x14ac:dyDescent="0.2">
      <c r="A153" s="9">
        <v>41365</v>
      </c>
      <c r="B153" s="10">
        <v>4</v>
      </c>
      <c r="C153" s="10">
        <v>28</v>
      </c>
      <c r="D153" s="10">
        <v>35</v>
      </c>
      <c r="T153" s="38">
        <f>(B153-'FY2012'!B161)/'FY2012'!B161</f>
        <v>3</v>
      </c>
      <c r="U153" s="38">
        <f>(C153-'FY2012'!C161)/'FY2012'!C161</f>
        <v>-9.6774193548387094E-2</v>
      </c>
      <c r="V153" s="38">
        <f>(D153-'FY2012'!D161)/'FY2012'!D161</f>
        <v>9.375E-2</v>
      </c>
    </row>
    <row r="154" spans="1:22" x14ac:dyDescent="0.2">
      <c r="A154" s="9">
        <v>41395</v>
      </c>
      <c r="B154" s="10">
        <v>4</v>
      </c>
      <c r="C154" s="10">
        <v>28</v>
      </c>
      <c r="D154" s="10">
        <v>32</v>
      </c>
      <c r="T154" s="38">
        <f>(B154-'FY2012'!B162)/'FY2012'!B162</f>
        <v>0</v>
      </c>
      <c r="U154" s="38">
        <f>(C154-'FY2012'!C162)/'FY2012'!C162</f>
        <v>0.21739130434782608</v>
      </c>
      <c r="V154" s="38">
        <f>(D154-'FY2012'!D162)/'FY2012'!D162</f>
        <v>0.18518518518518517</v>
      </c>
    </row>
    <row r="155" spans="1:22" x14ac:dyDescent="0.2">
      <c r="A155" s="9">
        <v>41426</v>
      </c>
      <c r="B155" s="10">
        <v>1</v>
      </c>
      <c r="C155" s="10">
        <v>1</v>
      </c>
      <c r="D155" s="10">
        <v>2</v>
      </c>
      <c r="T155" s="38">
        <f>(B155-'FY2012'!B163)/'FY2012'!B163</f>
        <v>-0.75</v>
      </c>
      <c r="U155" s="38">
        <f>(C155-'FY2012'!C163)/'FY2012'!C163</f>
        <v>-0.97560975609756095</v>
      </c>
      <c r="V155" s="38">
        <f>(D155-'FY2012'!D163)/'FY2012'!D163</f>
        <v>-0.95744680851063835</v>
      </c>
    </row>
    <row r="156" spans="1:22" x14ac:dyDescent="0.2">
      <c r="A156" s="9">
        <v>41456</v>
      </c>
      <c r="B156" s="10">
        <v>4</v>
      </c>
      <c r="C156" s="10">
        <v>212</v>
      </c>
      <c r="D156" s="10">
        <v>216</v>
      </c>
      <c r="T156" s="38">
        <f>(B156-'FY2012'!B164)/'FY2012'!B164</f>
        <v>0.33333333333333331</v>
      </c>
      <c r="U156" s="38">
        <f>(C156-'FY2012'!C164)/'FY2012'!C164</f>
        <v>4.8888888888888893</v>
      </c>
      <c r="V156" s="38">
        <f>(D156-'FY2012'!D164)/'FY2012'!D164</f>
        <v>4.5384615384615383</v>
      </c>
    </row>
    <row r="157" spans="1:22" x14ac:dyDescent="0.2">
      <c r="A157" s="9">
        <v>41487</v>
      </c>
      <c r="B157" s="10">
        <v>13</v>
      </c>
      <c r="C157" s="10">
        <v>23</v>
      </c>
      <c r="D157" s="10">
        <v>37</v>
      </c>
      <c r="T157" s="38">
        <f>(B157-'FY2012'!B165)/'FY2012'!B165</f>
        <v>5.5</v>
      </c>
      <c r="U157" s="38">
        <f>(C157-'FY2012'!C165)/'FY2012'!C165</f>
        <v>-0.17857142857142858</v>
      </c>
      <c r="V157" s="38">
        <f>(D157-'FY2012'!D165)/'FY2012'!D165</f>
        <v>0.23333333333333334</v>
      </c>
    </row>
    <row r="158" spans="1:22" x14ac:dyDescent="0.2">
      <c r="A158" s="9">
        <v>41518</v>
      </c>
      <c r="B158" s="10">
        <v>9</v>
      </c>
      <c r="C158" s="10">
        <v>3</v>
      </c>
      <c r="D158" s="10">
        <v>14</v>
      </c>
      <c r="T158" s="38">
        <f>(B158-'FY2012'!B166)/'FY2012'!B166</f>
        <v>0.5</v>
      </c>
      <c r="U158" s="38">
        <f>(C158-'FY2012'!C166)/'FY2012'!C166</f>
        <v>-0.83333333333333337</v>
      </c>
      <c r="V158" s="38">
        <f>(D158-'FY2012'!D166)/'FY2012'!D166</f>
        <v>-0.64102564102564108</v>
      </c>
    </row>
    <row r="159" spans="1:22" x14ac:dyDescent="0.2">
      <c r="A159" s="108" t="s">
        <v>116</v>
      </c>
      <c r="B159" s="11">
        <f>SUM(B147:B158)</f>
        <v>81</v>
      </c>
      <c r="C159" s="11">
        <f>SUM(C147:C158)</f>
        <v>645</v>
      </c>
      <c r="D159" s="11">
        <f>SUM(D147:D158)</f>
        <v>733</v>
      </c>
      <c r="T159" s="39">
        <f>AVERAGE(T147:T158)</f>
        <v>1.3972222222222221</v>
      </c>
      <c r="U159" s="39">
        <f>AVERAGE(U147:U158)</f>
        <v>1.3329132777957857</v>
      </c>
      <c r="V159" s="39">
        <f>AVERAGE(V147:V158)</f>
        <v>0.77297453371373204</v>
      </c>
    </row>
    <row r="162" spans="1:22" x14ac:dyDescent="0.2">
      <c r="A162" s="5"/>
      <c r="B162" s="212" t="s">
        <v>39</v>
      </c>
      <c r="C162" s="213"/>
      <c r="D162" s="214"/>
      <c r="T162" s="215" t="s">
        <v>33</v>
      </c>
      <c r="U162" s="216"/>
      <c r="V162" s="217"/>
    </row>
    <row r="163" spans="1:22" ht="36" x14ac:dyDescent="0.2">
      <c r="A163" s="124" t="s">
        <v>1</v>
      </c>
      <c r="B163" s="37" t="s">
        <v>32</v>
      </c>
      <c r="C163" s="52"/>
      <c r="D163" s="52"/>
      <c r="T163" s="8" t="s">
        <v>18</v>
      </c>
      <c r="U163" s="54"/>
      <c r="V163" s="54"/>
    </row>
    <row r="164" spans="1:22" x14ac:dyDescent="0.2">
      <c r="A164" s="9">
        <v>41183</v>
      </c>
      <c r="B164" s="58">
        <v>7236</v>
      </c>
      <c r="C164" s="53"/>
      <c r="D164" s="53"/>
      <c r="T164" s="38">
        <f>(B164-'FY2012'!B172)/'FY2012'!B172</f>
        <v>0.11701142327878974</v>
      </c>
      <c r="U164" s="55"/>
      <c r="V164" s="55"/>
    </row>
    <row r="165" spans="1:22" x14ac:dyDescent="0.2">
      <c r="A165" s="9">
        <v>41214</v>
      </c>
      <c r="B165" s="58">
        <v>7267</v>
      </c>
      <c r="C165" s="53"/>
      <c r="D165" s="53"/>
      <c r="T165" s="38">
        <f>(B165-'FY2012'!B173)/'FY2012'!B173</f>
        <v>0.11989520727384805</v>
      </c>
      <c r="U165" s="55"/>
      <c r="V165" s="55"/>
    </row>
    <row r="166" spans="1:22" x14ac:dyDescent="0.2">
      <c r="A166" s="9">
        <v>41244</v>
      </c>
      <c r="B166" s="58">
        <v>7362</v>
      </c>
      <c r="C166" s="53"/>
      <c r="D166" s="53"/>
      <c r="T166" s="38">
        <f>(B166-'FY2012'!B174)/'FY2012'!B174</f>
        <v>0.12827586206896552</v>
      </c>
      <c r="U166" s="55"/>
      <c r="V166" s="55"/>
    </row>
    <row r="167" spans="1:22" x14ac:dyDescent="0.2">
      <c r="A167" s="9">
        <v>41275</v>
      </c>
      <c r="B167" s="58">
        <v>7550</v>
      </c>
      <c r="C167" s="53"/>
      <c r="D167" s="53"/>
      <c r="T167" s="38">
        <f>(B167-'FY2012'!B175)/'FY2012'!B175</f>
        <v>0.14082804472650348</v>
      </c>
      <c r="U167" s="55"/>
      <c r="V167" s="55"/>
    </row>
    <row r="168" spans="1:22" x14ac:dyDescent="0.2">
      <c r="A168" s="9">
        <v>41306</v>
      </c>
      <c r="B168" s="58">
        <v>7572</v>
      </c>
      <c r="C168" s="53"/>
      <c r="D168" s="53"/>
      <c r="T168" s="38">
        <f>(B168-'FY2012'!B176)/'FY2012'!B176</f>
        <v>0.1171437002065506</v>
      </c>
      <c r="U168" s="55"/>
      <c r="V168" s="55"/>
    </row>
    <row r="169" spans="1:22" x14ac:dyDescent="0.2">
      <c r="A169" s="9">
        <v>41334</v>
      </c>
      <c r="B169" s="58">
        <v>7487</v>
      </c>
      <c r="C169" s="53"/>
      <c r="D169" s="53"/>
      <c r="T169" s="38">
        <f>(B169-'FY2012'!B177)/'FY2012'!B177</f>
        <v>9.860601614086574E-2</v>
      </c>
      <c r="U169" s="55"/>
      <c r="V169" s="55"/>
    </row>
    <row r="170" spans="1:22" x14ac:dyDescent="0.2">
      <c r="A170" s="9">
        <v>41365</v>
      </c>
      <c r="B170" s="58">
        <v>7554</v>
      </c>
      <c r="C170" s="53"/>
      <c r="D170" s="53"/>
      <c r="T170" s="38">
        <f>(B170-'FY2012'!B178)/'FY2012'!B178</f>
        <v>0.10180863477246208</v>
      </c>
      <c r="U170" s="55"/>
      <c r="V170" s="55"/>
    </row>
    <row r="171" spans="1:22" x14ac:dyDescent="0.2">
      <c r="A171" s="9">
        <v>41395</v>
      </c>
      <c r="B171" s="58">
        <v>7598</v>
      </c>
      <c r="C171" s="53"/>
      <c r="D171" s="53"/>
      <c r="T171" s="38">
        <f>(B171-'FY2012'!B179)/'FY2012'!B179</f>
        <v>9.7659635943368975E-2</v>
      </c>
      <c r="U171" s="55"/>
      <c r="V171" s="55"/>
    </row>
    <row r="172" spans="1:22" x14ac:dyDescent="0.2">
      <c r="A172" s="9">
        <v>41426</v>
      </c>
      <c r="B172" s="58">
        <v>7648</v>
      </c>
      <c r="C172" s="53"/>
      <c r="D172" s="53"/>
      <c r="T172" s="38">
        <f>(B172-'FY2012'!B180)/'FY2012'!B180</f>
        <v>9.7431482278662648E-2</v>
      </c>
      <c r="U172" s="55"/>
      <c r="V172" s="55"/>
    </row>
    <row r="173" spans="1:22" x14ac:dyDescent="0.2">
      <c r="A173" s="9">
        <v>41456</v>
      </c>
      <c r="B173" s="58">
        <v>7877</v>
      </c>
      <c r="C173" s="53"/>
      <c r="D173" s="53"/>
      <c r="T173" s="38">
        <f>(B173-'FY2012'!B181)/'FY2012'!B181</f>
        <v>0.12721808815111621</v>
      </c>
      <c r="U173" s="55"/>
      <c r="V173" s="55"/>
    </row>
    <row r="174" spans="1:22" x14ac:dyDescent="0.2">
      <c r="A174" s="9">
        <v>41487</v>
      </c>
      <c r="B174" s="58">
        <v>7935</v>
      </c>
      <c r="C174" s="53"/>
      <c r="D174" s="53"/>
      <c r="T174" s="38">
        <f>(B174-'FY2012'!B182)/'FY2012'!B182</f>
        <v>0.12537228761877747</v>
      </c>
      <c r="U174" s="55"/>
      <c r="V174" s="55"/>
    </row>
    <row r="175" spans="1:22" x14ac:dyDescent="0.2">
      <c r="A175" s="9">
        <v>41518</v>
      </c>
      <c r="B175" s="58">
        <v>8032</v>
      </c>
      <c r="C175" s="53"/>
      <c r="D175" s="53"/>
      <c r="T175" s="38">
        <f>(B175-'FY2012'!B183)/'FY2012'!B183</f>
        <v>0.12508754727552879</v>
      </c>
      <c r="U175" s="55"/>
      <c r="V175" s="55"/>
    </row>
    <row r="176" spans="1:22" x14ac:dyDescent="0.2">
      <c r="A176" s="63" t="s">
        <v>117</v>
      </c>
      <c r="B176" s="63">
        <f>AVERAGE(B164:B175)</f>
        <v>7593.166666666667</v>
      </c>
      <c r="C176" s="53"/>
      <c r="D176" s="53"/>
      <c r="T176" s="39">
        <f>AVERAGE(T164:T175)</f>
        <v>0.11636149414461995</v>
      </c>
      <c r="U176" s="55"/>
      <c r="V176" s="55"/>
    </row>
    <row r="177" spans="1:22" x14ac:dyDescent="0.2">
      <c r="A177" s="77"/>
      <c r="B177" s="77"/>
      <c r="C177" s="83"/>
      <c r="D177" s="83"/>
      <c r="T177" s="51"/>
      <c r="U177" s="50"/>
      <c r="V177" s="50"/>
    </row>
    <row r="179" spans="1:22" ht="15.75" x14ac:dyDescent="0.25">
      <c r="A179" s="207" t="s">
        <v>49</v>
      </c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5"/>
      <c r="T179" s="205"/>
      <c r="U179" s="205"/>
      <c r="V179" s="205"/>
    </row>
    <row r="180" spans="1:22" ht="15.75" x14ac:dyDescent="0.2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3"/>
      <c r="T180" s="123"/>
      <c r="U180" s="123"/>
      <c r="V180" s="123"/>
    </row>
    <row r="181" spans="1:22" x14ac:dyDescent="0.2">
      <c r="A181" s="5"/>
      <c r="B181" s="212" t="s">
        <v>40</v>
      </c>
      <c r="C181" s="213"/>
      <c r="D181" s="214"/>
      <c r="T181" s="212" t="s">
        <v>40</v>
      </c>
      <c r="U181" s="213"/>
      <c r="V181" s="214"/>
    </row>
    <row r="182" spans="1:22" ht="48.75" customHeight="1" x14ac:dyDescent="0.2">
      <c r="A182" s="124" t="s">
        <v>1</v>
      </c>
      <c r="B182" s="37" t="s">
        <v>41</v>
      </c>
      <c r="C182" s="64" t="s">
        <v>42</v>
      </c>
      <c r="D182" s="64" t="s">
        <v>43</v>
      </c>
      <c r="T182" s="8" t="s">
        <v>72</v>
      </c>
      <c r="U182" s="8" t="s">
        <v>73</v>
      </c>
      <c r="V182" s="54"/>
    </row>
    <row r="183" spans="1:22" x14ac:dyDescent="0.2">
      <c r="A183" s="9">
        <v>41183</v>
      </c>
      <c r="B183" s="58">
        <f>41+166+449</f>
        <v>656</v>
      </c>
      <c r="C183" s="43">
        <f>168736.2+42575.95+21571.95</f>
        <v>232884.10000000003</v>
      </c>
      <c r="D183" s="66">
        <f t="shared" ref="D183:D195" si="8">B183/B25</f>
        <v>1.0486307296439755E-4</v>
      </c>
      <c r="E183" s="68"/>
      <c r="T183" s="102">
        <f>(B183-'FY2012'!B191)/'FY2012'!B191</f>
        <v>-0.10990502035278155</v>
      </c>
      <c r="U183" s="102">
        <f>(C183-'FY2012'!C191)/'FY2012'!C191</f>
        <v>-0.13207552092068128</v>
      </c>
      <c r="V183" s="55"/>
    </row>
    <row r="184" spans="1:22" x14ac:dyDescent="0.2">
      <c r="A184" s="9">
        <v>41214</v>
      </c>
      <c r="B184" s="58">
        <f>441+171+46</f>
        <v>658</v>
      </c>
      <c r="C184" s="43">
        <f>198262.77+52650.64+11949.49</f>
        <v>262862.89999999997</v>
      </c>
      <c r="D184" s="66">
        <f t="shared" si="8"/>
        <v>1.1107161148028074E-4</v>
      </c>
      <c r="E184" s="68"/>
      <c r="T184" s="102">
        <f>(B184-'FY2012'!B192)/'FY2012'!B192</f>
        <v>2.8125000000000001E-2</v>
      </c>
      <c r="U184" s="102">
        <f>(C184-'FY2012'!C192)/'FY2012'!C192</f>
        <v>-5.7310249559708301E-2</v>
      </c>
      <c r="V184" s="55"/>
    </row>
    <row r="185" spans="1:22" x14ac:dyDescent="0.2">
      <c r="A185" s="9">
        <v>41244</v>
      </c>
      <c r="B185" s="58">
        <f>123+374+32</f>
        <v>529</v>
      </c>
      <c r="C185" s="43">
        <f>130786.56+24233.25+6136.15</f>
        <v>161155.96</v>
      </c>
      <c r="D185" s="66">
        <f t="shared" si="8"/>
        <v>9.0064904618031169E-5</v>
      </c>
      <c r="E185" s="68"/>
      <c r="T185" s="102">
        <f>(B185-'FY2012'!B193)/'FY2012'!B193</f>
        <v>-0.10942760942760943</v>
      </c>
      <c r="U185" s="102">
        <f>(C185-'FY2012'!C193)/'FY2012'!C193</f>
        <v>-0.41053585667571346</v>
      </c>
      <c r="V185" s="55"/>
    </row>
    <row r="186" spans="1:22" x14ac:dyDescent="0.2">
      <c r="A186" s="9">
        <v>41275</v>
      </c>
      <c r="B186" s="58">
        <f>375+140+33</f>
        <v>548</v>
      </c>
      <c r="C186" s="43">
        <f>101700.15+46093.85+11888.52</f>
        <v>159682.51999999999</v>
      </c>
      <c r="D186" s="66">
        <f t="shared" si="8"/>
        <v>8.6362032476852056E-5</v>
      </c>
      <c r="E186" s="68"/>
      <c r="T186" s="102">
        <f>(B186-'FY2012'!B194)/'FY2012'!B194</f>
        <v>-1.9677996422182469E-2</v>
      </c>
      <c r="U186" s="102">
        <f>(C186-'FY2012'!C194)/'FY2012'!C194</f>
        <v>-0.32877455369340519</v>
      </c>
      <c r="V186" s="55"/>
    </row>
    <row r="187" spans="1:22" x14ac:dyDescent="0.2">
      <c r="A187" s="9">
        <v>41306</v>
      </c>
      <c r="B187" s="58">
        <f>29+123+368</f>
        <v>520</v>
      </c>
      <c r="C187" s="43">
        <f>118633.8+57376.13+10635.24</f>
        <v>186645.16999999998</v>
      </c>
      <c r="D187" s="66">
        <f t="shared" si="8"/>
        <v>8.5418208369506031E-5</v>
      </c>
      <c r="E187" s="68"/>
      <c r="T187" s="102">
        <f>(B187-'FY2012'!B195)/'FY2012'!B195</f>
        <v>-0.23865300146412885</v>
      </c>
      <c r="U187" s="102">
        <f>(C187-'FY2012'!C195)/'FY2012'!C195</f>
        <v>-0.60613410568076309</v>
      </c>
      <c r="V187" s="55"/>
    </row>
    <row r="188" spans="1:22" x14ac:dyDescent="0.2">
      <c r="A188" s="9">
        <v>41334</v>
      </c>
      <c r="B188" s="58">
        <f>436+157+50</f>
        <v>643</v>
      </c>
      <c r="C188" s="43">
        <f>172092+59911+12088</f>
        <v>244091</v>
      </c>
      <c r="D188" s="66">
        <f t="shared" si="8"/>
        <v>9.1691430245138399E-5</v>
      </c>
      <c r="E188" s="68"/>
      <c r="T188" s="102">
        <f>(B188-'FY2012'!B196)/'FY2012'!B196</f>
        <v>-9.1807909604519775E-2</v>
      </c>
      <c r="U188" s="102">
        <f>(C188-'FY2012'!C196)/'FY2012'!C196</f>
        <v>2.7985310344246693E-2</v>
      </c>
      <c r="V188" s="55"/>
    </row>
    <row r="189" spans="1:22" x14ac:dyDescent="0.2">
      <c r="A189" s="9">
        <v>41365</v>
      </c>
      <c r="B189" s="58">
        <f>479+146+35</f>
        <v>660</v>
      </c>
      <c r="C189" s="43">
        <f>181837+35414+5633</f>
        <v>222884</v>
      </c>
      <c r="D189" s="66">
        <f t="shared" si="8"/>
        <v>9.9027995214247071E-5</v>
      </c>
      <c r="E189" s="68"/>
      <c r="T189" s="102">
        <f>(B189-'FY2012'!B197)/'FY2012'!B197</f>
        <v>0.13597246127366611</v>
      </c>
      <c r="U189" s="102">
        <f>(C189-'FY2012'!C197)/'FY2012'!C197</f>
        <v>9.9891883975314778E-3</v>
      </c>
      <c r="V189" s="55"/>
    </row>
    <row r="190" spans="1:22" x14ac:dyDescent="0.2">
      <c r="A190" s="9">
        <v>41395</v>
      </c>
      <c r="B190" s="58">
        <f>488+207+40</f>
        <v>735</v>
      </c>
      <c r="C190" s="43">
        <f>119819.58+40681.26+9619.31</f>
        <v>170120.15</v>
      </c>
      <c r="D190" s="66">
        <f t="shared" si="8"/>
        <v>1.0155601781582713E-4</v>
      </c>
      <c r="T190" s="102">
        <f>(B190-'FY2012'!B198)/'FY2012'!B198</f>
        <v>9.6153846153846159E-3</v>
      </c>
      <c r="U190" s="102">
        <f>(C190-'FY2012'!C198)/'FY2012'!C198</f>
        <v>-0.52851914818351309</v>
      </c>
      <c r="V190" s="55"/>
    </row>
    <row r="191" spans="1:22" x14ac:dyDescent="0.2">
      <c r="A191" s="9">
        <v>41426</v>
      </c>
      <c r="B191" s="58">
        <f>558+200+47</f>
        <v>805</v>
      </c>
      <c r="C191" s="43">
        <f>162881.87+84110.08+14960.78</f>
        <v>261952.73</v>
      </c>
      <c r="D191" s="66">
        <f t="shared" si="8"/>
        <v>1.1214973061774022E-4</v>
      </c>
      <c r="T191" s="102">
        <f>(B191-'FY2012'!B199)/'FY2012'!B199</f>
        <v>0.17690058479532164</v>
      </c>
      <c r="U191" s="102">
        <f>(C191-'FY2012'!C199)/'FY2012'!C199</f>
        <v>-0.24040291196244062</v>
      </c>
      <c r="V191" s="55"/>
    </row>
    <row r="192" spans="1:22" x14ac:dyDescent="0.2">
      <c r="A192" s="9">
        <v>41456</v>
      </c>
      <c r="B192" s="58">
        <f>478+268+54</f>
        <v>800</v>
      </c>
      <c r="C192" s="43">
        <f>131317.47+62248.86+20110.09</f>
        <v>213676.42</v>
      </c>
      <c r="D192" s="66">
        <f t="shared" si="8"/>
        <v>1.1377484896033255E-4</v>
      </c>
      <c r="T192" s="102">
        <f>(B192-'FY2012'!B200)/'FY2012'!B200</f>
        <v>0.16448326055312956</v>
      </c>
      <c r="U192" s="102">
        <f>(C192-'FY2012'!C200)/'FY2012'!C200</f>
        <v>-6.1540899416211402E-2</v>
      </c>
      <c r="V192" s="55"/>
    </row>
    <row r="193" spans="1:22" x14ac:dyDescent="0.2">
      <c r="A193" s="9">
        <v>41487</v>
      </c>
      <c r="B193" s="58">
        <f>500+285+52</f>
        <v>837</v>
      </c>
      <c r="C193" s="43">
        <f>228076+63641+13678</f>
        <v>305395</v>
      </c>
      <c r="D193" s="66">
        <f t="shared" si="8"/>
        <v>1.1682588671825058E-4</v>
      </c>
      <c r="T193" s="102">
        <f>(B193-'FY2012'!B201)/'FY2012'!B201</f>
        <v>-2.3837902264600714E-3</v>
      </c>
      <c r="U193" s="102">
        <f>(C193-'FY2012'!C201)/'FY2012'!C201</f>
        <v>-0.14402672788068871</v>
      </c>
      <c r="V193" s="55"/>
    </row>
    <row r="194" spans="1:22" x14ac:dyDescent="0.2">
      <c r="A194" s="9">
        <v>41518</v>
      </c>
      <c r="B194" s="58">
        <f>477+171+67</f>
        <v>715</v>
      </c>
      <c r="C194" s="43">
        <f>182190+42564+31668</f>
        <v>256422</v>
      </c>
      <c r="D194" s="66">
        <f t="shared" si="8"/>
        <v>1.1082111627398018E-4</v>
      </c>
      <c r="T194" s="102">
        <f>(B194-'FY2012'!B202)/'FY2012'!B202</f>
        <v>-7.1428571428571425E-2</v>
      </c>
      <c r="U194" s="102">
        <f>(C194-'FY2012'!C202)/'FY2012'!C202</f>
        <v>2.3684935213568934E-2</v>
      </c>
      <c r="V194" s="55"/>
    </row>
    <row r="195" spans="1:22" x14ac:dyDescent="0.2">
      <c r="A195" s="110" t="s">
        <v>116</v>
      </c>
      <c r="B195" s="63">
        <f>SUM(B183:B194)</f>
        <v>8106</v>
      </c>
      <c r="C195" s="65">
        <f>SUM(C183:C194)</f>
        <v>2677771.9499999997</v>
      </c>
      <c r="D195" s="67">
        <f t="shared" si="8"/>
        <v>1.0231360391894677E-4</v>
      </c>
      <c r="T195" s="103">
        <f>AVERAGE(T183:T194)</f>
        <v>-1.0682267307395965E-2</v>
      </c>
      <c r="U195" s="103">
        <f>AVERAGE(U183:U194)</f>
        <v>-0.20397171166814818</v>
      </c>
      <c r="V195" s="55"/>
    </row>
    <row r="196" spans="1:22" x14ac:dyDescent="0.2">
      <c r="D196" s="68"/>
      <c r="T196" s="57"/>
      <c r="U196" s="57"/>
      <c r="V196" s="57"/>
    </row>
    <row r="197" spans="1:22" x14ac:dyDescent="0.2">
      <c r="B197" s="218" t="s">
        <v>69</v>
      </c>
      <c r="C197" s="218"/>
      <c r="D197" s="69">
        <v>1.3999999999999999E-4</v>
      </c>
      <c r="T197" s="57"/>
      <c r="U197" s="57"/>
      <c r="V197" s="57"/>
    </row>
    <row r="199" spans="1:22" ht="15.75" x14ac:dyDescent="0.25">
      <c r="A199" s="207" t="s">
        <v>96</v>
      </c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5"/>
      <c r="T199" s="205"/>
      <c r="U199" s="205"/>
      <c r="V199" s="205"/>
    </row>
    <row r="201" spans="1:22" x14ac:dyDescent="0.2">
      <c r="A201" s="5"/>
      <c r="B201" s="211" t="s">
        <v>96</v>
      </c>
      <c r="C201" s="211"/>
      <c r="D201" s="211"/>
      <c r="E201" s="134"/>
      <c r="F201" s="134"/>
      <c r="T201" s="212" t="s">
        <v>96</v>
      </c>
      <c r="U201" s="213"/>
      <c r="V201" s="214"/>
    </row>
    <row r="202" spans="1:22" ht="48.75" customHeight="1" x14ac:dyDescent="0.2">
      <c r="A202" s="129" t="s">
        <v>1</v>
      </c>
      <c r="B202" s="115" t="s">
        <v>97</v>
      </c>
      <c r="C202" s="116" t="s">
        <v>98</v>
      </c>
      <c r="D202" s="64" t="s">
        <v>99</v>
      </c>
      <c r="E202" s="220"/>
      <c r="F202" s="221"/>
      <c r="T202" s="113"/>
      <c r="U202" s="113"/>
      <c r="V202" s="113"/>
    </row>
    <row r="203" spans="1:22" x14ac:dyDescent="0.2">
      <c r="A203" s="9">
        <v>41183</v>
      </c>
      <c r="B203" s="117">
        <v>0</v>
      </c>
      <c r="C203" s="73">
        <v>0</v>
      </c>
      <c r="D203" s="43">
        <v>0</v>
      </c>
      <c r="E203" s="219"/>
      <c r="F203" s="219"/>
      <c r="T203" s="114"/>
      <c r="U203" s="114"/>
      <c r="V203" s="114"/>
    </row>
    <row r="204" spans="1:22" x14ac:dyDescent="0.2">
      <c r="A204" s="9">
        <v>41214</v>
      </c>
      <c r="B204" s="117">
        <v>0</v>
      </c>
      <c r="C204" s="73">
        <v>0</v>
      </c>
      <c r="D204" s="43">
        <v>0</v>
      </c>
      <c r="E204" s="219"/>
      <c r="F204" s="219"/>
      <c r="T204" s="114"/>
      <c r="U204" s="114"/>
      <c r="V204" s="114"/>
    </row>
    <row r="205" spans="1:22" x14ac:dyDescent="0.2">
      <c r="A205" s="9">
        <v>41244</v>
      </c>
      <c r="B205" s="117">
        <v>0</v>
      </c>
      <c r="C205" s="73">
        <v>0</v>
      </c>
      <c r="D205" s="43">
        <v>0</v>
      </c>
      <c r="E205" s="219"/>
      <c r="F205" s="219"/>
      <c r="T205" s="114"/>
      <c r="U205" s="114"/>
      <c r="V205" s="114"/>
    </row>
    <row r="206" spans="1:22" x14ac:dyDescent="0.2">
      <c r="A206" s="9">
        <v>41275</v>
      </c>
      <c r="B206" s="117">
        <v>0</v>
      </c>
      <c r="C206" s="73">
        <v>0</v>
      </c>
      <c r="D206" s="43">
        <v>0</v>
      </c>
      <c r="E206" s="219"/>
      <c r="F206" s="219"/>
      <c r="T206" s="114"/>
      <c r="U206" s="114"/>
      <c r="V206" s="114"/>
    </row>
    <row r="207" spans="1:22" x14ac:dyDescent="0.2">
      <c r="A207" s="9">
        <v>41306</v>
      </c>
      <c r="B207" s="58">
        <v>0</v>
      </c>
      <c r="C207" s="73">
        <v>0</v>
      </c>
      <c r="D207" s="43">
        <v>0</v>
      </c>
      <c r="E207" s="219"/>
      <c r="F207" s="219"/>
      <c r="T207" s="114"/>
      <c r="U207" s="114"/>
      <c r="V207" s="114"/>
    </row>
    <row r="208" spans="1:22" x14ac:dyDescent="0.2">
      <c r="A208" s="9">
        <v>41334</v>
      </c>
      <c r="B208" s="58">
        <v>1</v>
      </c>
      <c r="C208" s="73">
        <v>1</v>
      </c>
      <c r="D208" s="43">
        <v>1</v>
      </c>
      <c r="E208" s="219"/>
      <c r="F208" s="219"/>
      <c r="T208" s="114"/>
      <c r="U208" s="114"/>
      <c r="V208" s="114"/>
    </row>
    <row r="209" spans="1:22" x14ac:dyDescent="0.2">
      <c r="A209" s="9">
        <v>41365</v>
      </c>
      <c r="B209" s="58">
        <v>1</v>
      </c>
      <c r="C209" s="73">
        <v>7</v>
      </c>
      <c r="D209" s="43">
        <v>167</v>
      </c>
      <c r="E209" s="219"/>
      <c r="F209" s="219"/>
      <c r="T209" s="114"/>
      <c r="U209" s="114"/>
      <c r="V209" s="114"/>
    </row>
    <row r="210" spans="1:22" x14ac:dyDescent="0.2">
      <c r="A210" s="9">
        <v>41395</v>
      </c>
      <c r="B210" s="58">
        <v>1</v>
      </c>
      <c r="C210" s="73">
        <v>4</v>
      </c>
      <c r="D210" s="43">
        <v>751</v>
      </c>
      <c r="E210" s="219"/>
      <c r="F210" s="219"/>
      <c r="T210" s="114"/>
      <c r="U210" s="114"/>
      <c r="V210" s="114"/>
    </row>
    <row r="211" spans="1:22" x14ac:dyDescent="0.2">
      <c r="A211" s="9">
        <v>41426</v>
      </c>
      <c r="B211" s="58">
        <v>1</v>
      </c>
      <c r="C211" s="73">
        <v>2</v>
      </c>
      <c r="D211" s="43">
        <v>2</v>
      </c>
      <c r="E211" s="219"/>
      <c r="F211" s="219"/>
      <c r="T211" s="114"/>
      <c r="U211" s="114"/>
      <c r="V211" s="114"/>
    </row>
    <row r="212" spans="1:22" x14ac:dyDescent="0.2">
      <c r="A212" s="9">
        <v>41456</v>
      </c>
      <c r="B212" s="58">
        <v>1</v>
      </c>
      <c r="C212" s="73">
        <v>3</v>
      </c>
      <c r="D212" s="43">
        <v>492.5</v>
      </c>
      <c r="E212" s="219"/>
      <c r="F212" s="219"/>
      <c r="T212" s="114"/>
      <c r="U212" s="114"/>
      <c r="V212" s="114"/>
    </row>
    <row r="213" spans="1:22" x14ac:dyDescent="0.2">
      <c r="A213" s="9">
        <v>41487</v>
      </c>
      <c r="B213" s="58">
        <v>1</v>
      </c>
      <c r="C213" s="73">
        <v>2</v>
      </c>
      <c r="D213" s="43">
        <v>200</v>
      </c>
      <c r="E213" s="219"/>
      <c r="F213" s="219"/>
      <c r="T213" s="114"/>
      <c r="U213" s="114"/>
      <c r="V213" s="114"/>
    </row>
    <row r="214" spans="1:22" x14ac:dyDescent="0.2">
      <c r="A214" s="9">
        <v>41518</v>
      </c>
      <c r="B214" s="58">
        <v>1</v>
      </c>
      <c r="C214" s="73">
        <v>4</v>
      </c>
      <c r="D214" s="43">
        <v>160</v>
      </c>
      <c r="E214" s="219"/>
      <c r="F214" s="219"/>
      <c r="T214" s="114"/>
      <c r="U214" s="114"/>
      <c r="V214" s="114"/>
    </row>
    <row r="215" spans="1:22" x14ac:dyDescent="0.2">
      <c r="A215" s="110" t="s">
        <v>116</v>
      </c>
      <c r="B215" s="135"/>
      <c r="C215" s="63">
        <f>SUM(C203:C214)</f>
        <v>23</v>
      </c>
      <c r="D215" s="65">
        <f>SUM(D203:D214)</f>
        <v>1773.5</v>
      </c>
      <c r="E215" s="223"/>
      <c r="F215" s="223"/>
      <c r="T215" s="51"/>
      <c r="U215" s="50"/>
      <c r="V215" s="50"/>
    </row>
    <row r="216" spans="1:22" x14ac:dyDescent="0.2">
      <c r="A216" s="118" t="s">
        <v>100</v>
      </c>
      <c r="B216" s="77" t="s">
        <v>101</v>
      </c>
      <c r="C216" s="77"/>
      <c r="D216" s="77"/>
    </row>
    <row r="217" spans="1:22" x14ac:dyDescent="0.2">
      <c r="A217" s="118"/>
      <c r="B217" s="77"/>
      <c r="C217" s="77"/>
      <c r="D217" s="77"/>
    </row>
    <row r="218" spans="1:22" x14ac:dyDescent="0.2">
      <c r="A218" s="118"/>
      <c r="B218" s="77"/>
      <c r="C218" s="77"/>
      <c r="D218" s="77"/>
    </row>
    <row r="219" spans="1:22" ht="15.75" x14ac:dyDescent="0.25">
      <c r="A219" s="207" t="s">
        <v>102</v>
      </c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5"/>
      <c r="T219" s="205"/>
      <c r="U219" s="205"/>
      <c r="V219" s="205"/>
    </row>
    <row r="220" spans="1:22" ht="15.75" x14ac:dyDescent="0.25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3"/>
      <c r="T220" s="123"/>
      <c r="U220" s="123"/>
      <c r="V220" s="123"/>
    </row>
    <row r="221" spans="1:22" x14ac:dyDescent="0.2">
      <c r="A221" s="5"/>
      <c r="B221" s="211" t="s">
        <v>103</v>
      </c>
      <c r="C221" s="211"/>
      <c r="D221" s="211"/>
      <c r="E221" s="224"/>
      <c r="F221" s="224"/>
      <c r="T221" s="212" t="s">
        <v>80</v>
      </c>
      <c r="U221" s="213"/>
      <c r="V221" s="214"/>
    </row>
    <row r="222" spans="1:22" ht="48.75" customHeight="1" x14ac:dyDescent="0.2">
      <c r="A222" s="124" t="s">
        <v>1</v>
      </c>
      <c r="B222" s="115" t="s">
        <v>79</v>
      </c>
      <c r="C222" s="116" t="s">
        <v>83</v>
      </c>
      <c r="D222" s="116" t="s">
        <v>82</v>
      </c>
      <c r="E222" s="225" t="s">
        <v>81</v>
      </c>
      <c r="F222" s="226"/>
      <c r="T222" s="8" t="s">
        <v>93</v>
      </c>
      <c r="U222" s="8" t="s">
        <v>95</v>
      </c>
      <c r="V222" s="8" t="s">
        <v>94</v>
      </c>
    </row>
    <row r="223" spans="1:22" x14ac:dyDescent="0.2">
      <c r="A223" s="9">
        <v>41183</v>
      </c>
      <c r="B223" s="117">
        <v>619</v>
      </c>
      <c r="C223" s="73">
        <v>285</v>
      </c>
      <c r="D223" s="73">
        <v>224</v>
      </c>
      <c r="E223" s="222">
        <f t="shared" ref="E223:E234" si="9">D223/B223</f>
        <v>0.36187399030694667</v>
      </c>
      <c r="F223" s="222"/>
      <c r="T223" s="38">
        <f>(B223-'FY2012'!B211)/'FY2012'!B211</f>
        <v>4.208754208754209E-2</v>
      </c>
      <c r="U223" s="38">
        <f>(C223-'FY2012'!C211)/'FY2012'!C211</f>
        <v>8.193548387096774</v>
      </c>
      <c r="V223" s="38">
        <f>(D223-'FY2012'!D211)/'FY2012'!D211</f>
        <v>15</v>
      </c>
    </row>
    <row r="224" spans="1:22" x14ac:dyDescent="0.2">
      <c r="A224" s="9">
        <v>41214</v>
      </c>
      <c r="B224" s="117">
        <v>618</v>
      </c>
      <c r="C224" s="73">
        <v>292</v>
      </c>
      <c r="D224" s="73">
        <v>240</v>
      </c>
      <c r="E224" s="222">
        <f t="shared" si="9"/>
        <v>0.38834951456310679</v>
      </c>
      <c r="F224" s="222"/>
      <c r="T224" s="38">
        <f>(B224-'FY2012'!B212)/'FY2012'!B212</f>
        <v>3.1719532554257093E-2</v>
      </c>
      <c r="U224" s="38">
        <f>(C224-'FY2012'!C212)/'FY2012'!C212</f>
        <v>3.8666666666666667</v>
      </c>
      <c r="V224" s="38">
        <f>(D224-'FY2012'!D212)/'FY2012'!D212</f>
        <v>7.8888888888888893</v>
      </c>
    </row>
    <row r="225" spans="1:22" x14ac:dyDescent="0.2">
      <c r="A225" s="9">
        <v>41244</v>
      </c>
      <c r="B225" s="117">
        <v>632</v>
      </c>
      <c r="C225" s="73">
        <v>298</v>
      </c>
      <c r="D225" s="73">
        <v>243</v>
      </c>
      <c r="E225" s="222">
        <f t="shared" si="9"/>
        <v>0.38449367088607594</v>
      </c>
      <c r="F225" s="222"/>
      <c r="T225" s="38">
        <f>(B225-'FY2012'!B213)/'FY2012'!B213</f>
        <v>4.809286898839138E-2</v>
      </c>
      <c r="U225" s="38">
        <f>(C225-'FY2012'!C213)/'FY2012'!C213</f>
        <v>3.3823529411764706</v>
      </c>
      <c r="V225" s="38">
        <f>(D225-'FY2012'!D213)/'FY2012'!D213</f>
        <v>5.3947368421052628</v>
      </c>
    </row>
    <row r="226" spans="1:22" x14ac:dyDescent="0.2">
      <c r="A226" s="9">
        <v>41275</v>
      </c>
      <c r="B226" s="117">
        <v>630</v>
      </c>
      <c r="C226" s="73">
        <v>298</v>
      </c>
      <c r="D226" s="73">
        <v>240</v>
      </c>
      <c r="E226" s="222">
        <f t="shared" si="9"/>
        <v>0.38095238095238093</v>
      </c>
      <c r="F226" s="222"/>
      <c r="T226" s="38">
        <f>(B226-'FY2012'!B214)/'FY2012'!B214</f>
        <v>3.6184210526315791E-2</v>
      </c>
      <c r="U226" s="38">
        <f>(C226-'FY2012'!C214)/'FY2012'!C214</f>
        <v>2.1702127659574466</v>
      </c>
      <c r="V226" s="38">
        <f>(D226-'FY2012'!D214)/'FY2012'!D214</f>
        <v>4</v>
      </c>
    </row>
    <row r="227" spans="1:22" x14ac:dyDescent="0.2">
      <c r="A227" s="9">
        <v>41306</v>
      </c>
      <c r="B227" s="58">
        <v>632</v>
      </c>
      <c r="C227" s="73">
        <v>302</v>
      </c>
      <c r="D227" s="73">
        <v>240</v>
      </c>
      <c r="E227" s="222">
        <f t="shared" si="9"/>
        <v>0.379746835443038</v>
      </c>
      <c r="F227" s="222"/>
      <c r="T227" s="38">
        <f>(B227-'FY2012'!B215)/'FY2012'!B215</f>
        <v>3.2679738562091505E-2</v>
      </c>
      <c r="U227" s="38">
        <f>(C227-'FY2012'!C215)/'FY2012'!C215</f>
        <v>1.2706766917293233</v>
      </c>
      <c r="V227" s="38">
        <f>(D227-'FY2012'!D215)/'FY2012'!D215</f>
        <v>2.6363636363636362</v>
      </c>
    </row>
    <row r="228" spans="1:22" x14ac:dyDescent="0.2">
      <c r="A228" s="9">
        <v>41334</v>
      </c>
      <c r="B228" s="58">
        <v>639</v>
      </c>
      <c r="C228" s="73">
        <v>311</v>
      </c>
      <c r="D228" s="73">
        <v>248</v>
      </c>
      <c r="E228" s="222">
        <f t="shared" si="9"/>
        <v>0.38810641627543035</v>
      </c>
      <c r="F228" s="222"/>
      <c r="T228" s="38">
        <f>(B228-'FY2012'!B216)/'FY2012'!B216</f>
        <v>3.2310177705977383E-2</v>
      </c>
      <c r="U228" s="38">
        <f>(C228-'FY2012'!C216)/'FY2012'!C216</f>
        <v>0.60309278350515461</v>
      </c>
      <c r="V228" s="38">
        <f>(D228-'FY2012'!D216)/'FY2012'!D216</f>
        <v>0.98399999999999999</v>
      </c>
    </row>
    <row r="229" spans="1:22" x14ac:dyDescent="0.2">
      <c r="A229" s="9">
        <v>41365</v>
      </c>
      <c r="B229" s="58">
        <v>638</v>
      </c>
      <c r="C229" s="73">
        <v>315</v>
      </c>
      <c r="D229" s="73">
        <v>249</v>
      </c>
      <c r="E229" s="222">
        <f t="shared" si="9"/>
        <v>0.39028213166144199</v>
      </c>
      <c r="F229" s="222"/>
      <c r="T229" s="38">
        <f>(B229-'FY2012'!B217)/'FY2012'!B217</f>
        <v>2.903225806451613E-2</v>
      </c>
      <c r="U229" s="38">
        <f>(C229-'FY2012'!C217)/'FY2012'!C217</f>
        <v>0.38157894736842107</v>
      </c>
      <c r="V229" s="38">
        <f>(D229-'FY2012'!D217)/'FY2012'!D217</f>
        <v>0.43930635838150289</v>
      </c>
    </row>
    <row r="230" spans="1:22" x14ac:dyDescent="0.2">
      <c r="A230" s="9">
        <v>41395</v>
      </c>
      <c r="B230" s="58">
        <v>638</v>
      </c>
      <c r="C230" s="73">
        <v>323</v>
      </c>
      <c r="D230" s="73">
        <v>256</v>
      </c>
      <c r="E230" s="222">
        <f t="shared" si="9"/>
        <v>0.40125391849529779</v>
      </c>
      <c r="F230" s="222"/>
      <c r="T230" s="38">
        <f>(B230-'FY2012'!B218)/'FY2012'!B218</f>
        <v>2.2435897435897436E-2</v>
      </c>
      <c r="U230" s="38">
        <f>(C230-'FY2012'!C218)/'FY2012'!C218</f>
        <v>0.3628691983122363</v>
      </c>
      <c r="V230" s="38">
        <f>(D230-'FY2012'!D218)/'FY2012'!D218</f>
        <v>0.43820224719101125</v>
      </c>
    </row>
    <row r="231" spans="1:22" x14ac:dyDescent="0.2">
      <c r="A231" s="9">
        <v>41426</v>
      </c>
      <c r="B231" s="58">
        <v>645</v>
      </c>
      <c r="C231" s="73">
        <v>346</v>
      </c>
      <c r="D231" s="73">
        <v>268</v>
      </c>
      <c r="E231" s="222">
        <f t="shared" si="9"/>
        <v>0.41550387596899224</v>
      </c>
      <c r="F231" s="222"/>
      <c r="T231" s="38">
        <f>(B231-'FY2012'!B219)/'FY2012'!B219</f>
        <v>3.3653846153846152E-2</v>
      </c>
      <c r="U231" s="38">
        <f>(C231-'FY2012'!C219)/'FY2012'!C219</f>
        <v>0.36220472440944884</v>
      </c>
      <c r="V231" s="38">
        <f>(D231-'FY2012'!D219)/'FY2012'!D219</f>
        <v>0.3604060913705584</v>
      </c>
    </row>
    <row r="232" spans="1:22" x14ac:dyDescent="0.2">
      <c r="A232" s="9">
        <v>41456</v>
      </c>
      <c r="B232" s="58">
        <v>635</v>
      </c>
      <c r="C232" s="73">
        <v>349</v>
      </c>
      <c r="D232" s="73">
        <v>274</v>
      </c>
      <c r="E232" s="222">
        <f t="shared" si="9"/>
        <v>0.43149606299212601</v>
      </c>
      <c r="F232" s="222"/>
      <c r="T232" s="38">
        <f>(B232-'FY2012'!B220)/'FY2012'!B220</f>
        <v>3.2520325203252036E-2</v>
      </c>
      <c r="U232" s="38">
        <f>(C232-'FY2012'!C220)/'FY2012'!C220</f>
        <v>0.36328125</v>
      </c>
      <c r="V232" s="38">
        <f>(D232-'FY2012'!D220)/'FY2012'!D220</f>
        <v>0.39086294416243655</v>
      </c>
    </row>
    <row r="233" spans="1:22" x14ac:dyDescent="0.2">
      <c r="A233" s="9">
        <v>41487</v>
      </c>
      <c r="B233" s="58">
        <v>649</v>
      </c>
      <c r="C233" s="73">
        <v>350</v>
      </c>
      <c r="D233" s="73">
        <v>276</v>
      </c>
      <c r="E233" s="222">
        <f t="shared" si="9"/>
        <v>0.42526964560862868</v>
      </c>
      <c r="F233" s="222"/>
      <c r="T233" s="38">
        <f>(B233-'FY2012'!B221)/'FY2012'!B221</f>
        <v>5.1863857374392218E-2</v>
      </c>
      <c r="U233" s="38">
        <f>(C233-'FY2012'!C221)/'FY2012'!C221</f>
        <v>0.31086142322097376</v>
      </c>
      <c r="V233" s="38">
        <f>(D233-'FY2012'!D221)/'FY2012'!D221</f>
        <v>0.33980582524271846</v>
      </c>
    </row>
    <row r="234" spans="1:22" x14ac:dyDescent="0.2">
      <c r="A234" s="9">
        <v>41518</v>
      </c>
      <c r="B234" s="58">
        <v>649</v>
      </c>
      <c r="C234" s="73">
        <v>350</v>
      </c>
      <c r="D234" s="73">
        <v>275</v>
      </c>
      <c r="E234" s="222">
        <f t="shared" si="9"/>
        <v>0.42372881355932202</v>
      </c>
      <c r="F234" s="222"/>
      <c r="T234" s="38">
        <f>(B234-'FY2012'!B222)/'FY2012'!B222</f>
        <v>4.8465266558966075E-2</v>
      </c>
      <c r="U234" s="38">
        <f>(C234-'FY2012'!C222)/'FY2012'!C222</f>
        <v>0.27272727272727271</v>
      </c>
      <c r="V234" s="38">
        <f>(D234-'FY2012'!D222)/'FY2012'!D222</f>
        <v>0.32850241545893721</v>
      </c>
    </row>
    <row r="235" spans="1:22" x14ac:dyDescent="0.2">
      <c r="A235" s="130"/>
      <c r="B235" s="131"/>
      <c r="C235" s="132"/>
      <c r="D235" s="132"/>
      <c r="E235" s="133"/>
      <c r="F235" s="133"/>
      <c r="T235" s="50"/>
      <c r="U235" s="50"/>
      <c r="V235" s="50"/>
    </row>
    <row r="237" spans="1:22" x14ac:dyDescent="0.2">
      <c r="A237" s="5"/>
      <c r="B237" s="208" t="s">
        <v>104</v>
      </c>
      <c r="C237" s="224"/>
      <c r="D237" s="224"/>
      <c r="E237" s="224"/>
      <c r="F237" s="224"/>
      <c r="G237" s="224"/>
      <c r="H237" s="224"/>
      <c r="I237" s="224"/>
      <c r="J237" s="224"/>
      <c r="K237" s="224"/>
      <c r="L237" s="138"/>
      <c r="M237" s="138"/>
      <c r="N237" s="138"/>
    </row>
    <row r="238" spans="1:22" ht="36" x14ac:dyDescent="0.2">
      <c r="A238" s="136" t="s">
        <v>1</v>
      </c>
      <c r="B238" s="115" t="s">
        <v>105</v>
      </c>
      <c r="C238" s="116" t="s">
        <v>106</v>
      </c>
      <c r="D238" s="116" t="s">
        <v>107</v>
      </c>
      <c r="E238" s="228" t="s">
        <v>108</v>
      </c>
      <c r="F238" s="229"/>
      <c r="G238" s="139" t="s">
        <v>109</v>
      </c>
      <c r="H238" s="139" t="s">
        <v>110</v>
      </c>
      <c r="I238" s="115" t="s">
        <v>111</v>
      </c>
      <c r="J238" s="139" t="s">
        <v>112</v>
      </c>
      <c r="K238" s="139" t="s">
        <v>113</v>
      </c>
    </row>
    <row r="239" spans="1:22" x14ac:dyDescent="0.2">
      <c r="A239" s="9">
        <v>41395</v>
      </c>
      <c r="B239" s="117">
        <v>2</v>
      </c>
      <c r="C239" s="73">
        <v>1</v>
      </c>
      <c r="D239" s="137">
        <f>C239/B239</f>
        <v>0.5</v>
      </c>
      <c r="E239" s="227">
        <v>5</v>
      </c>
      <c r="F239" s="224"/>
      <c r="G239" s="73">
        <v>3</v>
      </c>
      <c r="H239" s="137">
        <f>G239/E239</f>
        <v>0.6</v>
      </c>
      <c r="I239" s="117">
        <v>27</v>
      </c>
      <c r="J239" s="73">
        <v>16</v>
      </c>
      <c r="K239" s="137">
        <f>J239/I239</f>
        <v>0.59259259259259256</v>
      </c>
    </row>
    <row r="240" spans="1:22" x14ac:dyDescent="0.2">
      <c r="A240" s="9">
        <v>41426</v>
      </c>
      <c r="B240" s="117">
        <v>2</v>
      </c>
      <c r="C240" s="73">
        <v>1</v>
      </c>
      <c r="D240" s="137">
        <f>C240/B240</f>
        <v>0.5</v>
      </c>
      <c r="E240" s="227">
        <v>4</v>
      </c>
      <c r="F240" s="224"/>
      <c r="G240" s="73">
        <v>4</v>
      </c>
      <c r="H240" s="137">
        <f>G240/E240</f>
        <v>1</v>
      </c>
      <c r="I240" s="117">
        <v>28</v>
      </c>
      <c r="J240" s="73">
        <v>19</v>
      </c>
      <c r="K240" s="137">
        <f>J240/I240</f>
        <v>0.6785714285714286</v>
      </c>
    </row>
    <row r="241" spans="1:11" x14ac:dyDescent="0.2">
      <c r="A241" s="9">
        <v>41456</v>
      </c>
      <c r="B241" s="117">
        <v>2</v>
      </c>
      <c r="C241" s="73">
        <v>1</v>
      </c>
      <c r="D241" s="137">
        <f>C241/B241</f>
        <v>0.5</v>
      </c>
      <c r="E241" s="227">
        <v>4</v>
      </c>
      <c r="F241" s="224"/>
      <c r="G241" s="73">
        <v>4</v>
      </c>
      <c r="H241" s="137">
        <f>G241/E241</f>
        <v>1</v>
      </c>
      <c r="I241" s="117">
        <v>28</v>
      </c>
      <c r="J241" s="73">
        <v>18</v>
      </c>
      <c r="K241" s="137">
        <f>J241/I241</f>
        <v>0.6428571428571429</v>
      </c>
    </row>
    <row r="242" spans="1:11" x14ac:dyDescent="0.2">
      <c r="A242" s="9">
        <v>41487</v>
      </c>
      <c r="B242" s="117">
        <v>2</v>
      </c>
      <c r="C242" s="73">
        <v>1</v>
      </c>
      <c r="D242" s="137">
        <f>C242/B242</f>
        <v>0.5</v>
      </c>
      <c r="E242" s="227">
        <v>4</v>
      </c>
      <c r="F242" s="224"/>
      <c r="G242" s="73">
        <v>3</v>
      </c>
      <c r="H242" s="137">
        <f>G242/E242</f>
        <v>0.75</v>
      </c>
      <c r="I242" s="117">
        <v>28</v>
      </c>
      <c r="J242" s="73">
        <v>21</v>
      </c>
      <c r="K242" s="137">
        <f>J242/I242</f>
        <v>0.75</v>
      </c>
    </row>
    <row r="243" spans="1:11" x14ac:dyDescent="0.2">
      <c r="A243" s="9">
        <v>41518</v>
      </c>
      <c r="B243" s="58">
        <v>2</v>
      </c>
      <c r="C243" s="73">
        <v>1</v>
      </c>
      <c r="D243" s="137">
        <f>C243/B243</f>
        <v>0.5</v>
      </c>
      <c r="E243" s="227">
        <v>4</v>
      </c>
      <c r="F243" s="224"/>
      <c r="G243" s="73">
        <v>3</v>
      </c>
      <c r="H243" s="137">
        <f>G243/E243</f>
        <v>0.75</v>
      </c>
      <c r="I243" s="58">
        <v>28</v>
      </c>
      <c r="J243" s="73">
        <v>24</v>
      </c>
      <c r="K243" s="137">
        <f>J243/I243</f>
        <v>0.8571428571428571</v>
      </c>
    </row>
    <row r="244" spans="1:11" x14ac:dyDescent="0.2">
      <c r="A244" s="9">
        <v>41548</v>
      </c>
      <c r="B244" s="58"/>
      <c r="C244" s="73"/>
      <c r="D244" s="137"/>
      <c r="E244" s="227"/>
      <c r="F244" s="224"/>
      <c r="G244" s="73"/>
      <c r="H244" s="137"/>
      <c r="I244" s="58"/>
      <c r="J244" s="73"/>
      <c r="K244" s="137"/>
    </row>
    <row r="245" spans="1:11" x14ac:dyDescent="0.2">
      <c r="A245" s="9">
        <v>41579</v>
      </c>
      <c r="B245" s="58"/>
      <c r="C245" s="73"/>
      <c r="D245" s="137"/>
      <c r="E245" s="227"/>
      <c r="F245" s="224"/>
      <c r="G245" s="73"/>
      <c r="H245" s="137"/>
      <c r="I245" s="58"/>
      <c r="J245" s="73"/>
      <c r="K245" s="137"/>
    </row>
    <row r="246" spans="1:11" x14ac:dyDescent="0.2">
      <c r="A246" s="9">
        <v>41609</v>
      </c>
      <c r="B246" s="58"/>
      <c r="C246" s="73"/>
      <c r="D246" s="137"/>
      <c r="E246" s="227"/>
      <c r="F246" s="224"/>
      <c r="G246" s="73"/>
      <c r="H246" s="137"/>
      <c r="I246" s="58"/>
      <c r="J246" s="73"/>
      <c r="K246" s="137"/>
    </row>
    <row r="247" spans="1:11" x14ac:dyDescent="0.2">
      <c r="A247" s="9">
        <v>41640</v>
      </c>
      <c r="B247" s="58"/>
      <c r="C247" s="73"/>
      <c r="D247" s="137"/>
      <c r="E247" s="227"/>
      <c r="F247" s="224"/>
      <c r="G247" s="73"/>
      <c r="H247" s="137"/>
      <c r="I247" s="58"/>
      <c r="J247" s="73"/>
      <c r="K247" s="137"/>
    </row>
    <row r="248" spans="1:11" x14ac:dyDescent="0.2">
      <c r="A248" s="9">
        <v>41671</v>
      </c>
      <c r="B248" s="58"/>
      <c r="C248" s="73"/>
      <c r="D248" s="137"/>
      <c r="E248" s="227"/>
      <c r="F248" s="224"/>
      <c r="G248" s="73"/>
      <c r="H248" s="137"/>
      <c r="I248" s="58"/>
      <c r="J248" s="73"/>
      <c r="K248" s="137"/>
    </row>
    <row r="249" spans="1:11" x14ac:dyDescent="0.2">
      <c r="A249" s="9">
        <v>41699</v>
      </c>
      <c r="B249" s="58"/>
      <c r="C249" s="73"/>
      <c r="D249" s="137"/>
      <c r="E249" s="227"/>
      <c r="F249" s="224"/>
      <c r="G249" s="73"/>
      <c r="H249" s="137"/>
      <c r="I249" s="58"/>
      <c r="J249" s="73"/>
      <c r="K249" s="137"/>
    </row>
    <row r="250" spans="1:11" x14ac:dyDescent="0.2">
      <c r="A250" s="9">
        <v>41730</v>
      </c>
      <c r="B250" s="58"/>
      <c r="C250" s="73"/>
      <c r="D250" s="137"/>
      <c r="E250" s="227"/>
      <c r="F250" s="224"/>
      <c r="G250" s="73"/>
      <c r="H250" s="137"/>
      <c r="I250" s="58"/>
      <c r="J250" s="73"/>
      <c r="K250" s="137"/>
    </row>
  </sheetData>
  <mergeCells count="75">
    <mergeCell ref="E247:F247"/>
    <mergeCell ref="E248:F248"/>
    <mergeCell ref="E249:F249"/>
    <mergeCell ref="E250:F250"/>
    <mergeCell ref="B237:K237"/>
    <mergeCell ref="E242:F242"/>
    <mergeCell ref="E243:F243"/>
    <mergeCell ref="E244:F244"/>
    <mergeCell ref="E245:F245"/>
    <mergeCell ref="E246:F246"/>
    <mergeCell ref="E238:F238"/>
    <mergeCell ref="E239:F239"/>
    <mergeCell ref="E240:F240"/>
    <mergeCell ref="E241:F241"/>
    <mergeCell ref="E212:F212"/>
    <mergeCell ref="E213:F213"/>
    <mergeCell ref="E214:F214"/>
    <mergeCell ref="E215:F215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234:F234"/>
    <mergeCell ref="E228:F228"/>
    <mergeCell ref="E229:F229"/>
    <mergeCell ref="E230:F230"/>
    <mergeCell ref="E231:F231"/>
    <mergeCell ref="E232:F232"/>
    <mergeCell ref="E233:F233"/>
    <mergeCell ref="E227:F227"/>
    <mergeCell ref="A179:V179"/>
    <mergeCell ref="B181:D181"/>
    <mergeCell ref="T181:V181"/>
    <mergeCell ref="B197:C197"/>
    <mergeCell ref="A219:V219"/>
    <mergeCell ref="B221:F221"/>
    <mergeCell ref="T221:V221"/>
    <mergeCell ref="E222:F222"/>
    <mergeCell ref="E223:F223"/>
    <mergeCell ref="E224:F224"/>
    <mergeCell ref="E225:F225"/>
    <mergeCell ref="E226:F226"/>
    <mergeCell ref="A199:V199"/>
    <mergeCell ref="B201:D201"/>
    <mergeCell ref="T201:V201"/>
    <mergeCell ref="B162:D162"/>
    <mergeCell ref="T162:V162"/>
    <mergeCell ref="B74:D74"/>
    <mergeCell ref="T74:V74"/>
    <mergeCell ref="B91:D91"/>
    <mergeCell ref="T91:V91"/>
    <mergeCell ref="B109:D109"/>
    <mergeCell ref="T109:V109"/>
    <mergeCell ref="B126:D126"/>
    <mergeCell ref="T126:V126"/>
    <mergeCell ref="A143:V143"/>
    <mergeCell ref="B145:D145"/>
    <mergeCell ref="T145:V145"/>
    <mergeCell ref="B23:D23"/>
    <mergeCell ref="T23:V23"/>
    <mergeCell ref="B40:D40"/>
    <mergeCell ref="T40:V40"/>
    <mergeCell ref="B57:D57"/>
    <mergeCell ref="T57:V57"/>
    <mergeCell ref="A5:V5"/>
    <mergeCell ref="B7:D7"/>
    <mergeCell ref="T7:V7"/>
    <mergeCell ref="A1:V1"/>
    <mergeCell ref="A2:V2"/>
  </mergeCells>
  <printOptions horizontalCentered="1" verticalCentered="1"/>
  <pageMargins left="0.16" right="0.17" top="0.54" bottom="0.56000000000000005" header="0.5" footer="0.5"/>
  <pageSetup scale="58" fitToHeight="8" orientation="landscape" r:id="rId1"/>
  <headerFooter alignWithMargins="0">
    <oddFooter>&amp;Rpage &amp;P</oddFooter>
  </headerFooter>
  <rowBreaks count="5" manualBreakCount="5">
    <brk id="55" max="21" man="1"/>
    <brk id="107" max="21" man="1"/>
    <brk id="142" max="21" man="1"/>
    <brk id="177" max="21" man="1"/>
    <brk id="218" max="2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3"/>
  <sheetViews>
    <sheetView view="pageBreakPreview" topLeftCell="A16" zoomScale="90" zoomScaleNormal="90" zoomScaleSheetLayoutView="90" workbookViewId="0">
      <selection activeCell="B131" sqref="B131"/>
    </sheetView>
  </sheetViews>
  <sheetFormatPr defaultRowHeight="12.75" x14ac:dyDescent="0.2"/>
  <cols>
    <col min="1" max="1" width="15" customWidth="1"/>
    <col min="2" max="2" width="14.7109375" bestFit="1" customWidth="1"/>
    <col min="3" max="3" width="14.5703125" bestFit="1" customWidth="1"/>
    <col min="4" max="4" width="15" customWidth="1"/>
    <col min="5" max="5" width="3.28515625" customWidth="1"/>
    <col min="6" max="6" width="7.42578125" customWidth="1"/>
    <col min="19" max="19" width="8" customWidth="1"/>
    <col min="20" max="20" width="8.42578125" customWidth="1"/>
    <col min="21" max="21" width="8.42578125" bestFit="1" customWidth="1"/>
    <col min="22" max="22" width="8.42578125" customWidth="1"/>
  </cols>
  <sheetData>
    <row r="1" spans="1:22" ht="18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5"/>
      <c r="T1" s="205"/>
      <c r="U1" s="205"/>
      <c r="V1" s="205"/>
    </row>
    <row r="2" spans="1:22" ht="15.75" x14ac:dyDescent="0.25">
      <c r="A2" s="206" t="s">
        <v>68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5"/>
      <c r="T2" s="205"/>
      <c r="U2" s="205"/>
      <c r="V2" s="205"/>
    </row>
    <row r="3" spans="1:22" ht="15.75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0"/>
      <c r="T3" s="120"/>
      <c r="U3" s="120"/>
      <c r="V3" s="120"/>
    </row>
    <row r="4" spans="1:22" ht="15.75" x14ac:dyDescent="0.25">
      <c r="A4" s="207" t="s">
        <v>91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5"/>
      <c r="O4" s="205"/>
      <c r="P4" s="205"/>
      <c r="Q4" s="205"/>
      <c r="R4" s="205"/>
      <c r="S4" s="205"/>
      <c r="T4" s="205"/>
      <c r="U4" s="205"/>
      <c r="V4" s="205"/>
    </row>
    <row r="5" spans="1:22" s="5" customFormat="1" ht="15" x14ac:dyDescent="0.2">
      <c r="A5" s="230" t="s">
        <v>85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05"/>
      <c r="S5" s="205"/>
      <c r="T5" s="205"/>
      <c r="U5" s="205"/>
      <c r="V5" s="205"/>
    </row>
    <row r="6" spans="1:22" s="5" customFormat="1" ht="15" x14ac:dyDescent="0.2">
      <c r="A6" s="230" t="s">
        <v>84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</row>
    <row r="7" spans="1:22" s="5" customFormat="1" ht="15" x14ac:dyDescent="0.2">
      <c r="A7" s="230" t="s">
        <v>86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</row>
    <row r="8" spans="1:22" s="5" customFormat="1" ht="15" x14ac:dyDescent="0.2">
      <c r="A8" s="127" t="s">
        <v>90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22" s="5" customFormat="1" ht="15" x14ac:dyDescent="0.2">
      <c r="A9" s="230" t="s">
        <v>87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</row>
    <row r="10" spans="1:22" s="5" customFormat="1" ht="15" x14ac:dyDescent="0.2">
      <c r="A10" s="230" t="s">
        <v>88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</row>
    <row r="11" spans="1:22" s="5" customFormat="1" ht="15" x14ac:dyDescent="0.2">
      <c r="A11" s="230" t="s">
        <v>89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</row>
    <row r="12" spans="1:22" ht="15.75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07"/>
      <c r="O12" s="107"/>
      <c r="P12" s="107"/>
      <c r="Q12" s="107"/>
      <c r="R12" s="107"/>
      <c r="S12" s="96"/>
      <c r="T12" s="96"/>
      <c r="U12" s="96"/>
      <c r="V12" s="96"/>
    </row>
    <row r="13" spans="1:22" ht="15.75" x14ac:dyDescent="0.25">
      <c r="A13" s="207" t="s">
        <v>12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5"/>
      <c r="T13" s="205"/>
      <c r="U13" s="205"/>
      <c r="V13" s="205"/>
    </row>
    <row r="15" spans="1:22" x14ac:dyDescent="0.2">
      <c r="B15" s="203" t="s">
        <v>5</v>
      </c>
      <c r="C15" s="203"/>
      <c r="D15" s="203"/>
      <c r="F15" s="16"/>
      <c r="T15" s="203" t="s">
        <v>5</v>
      </c>
      <c r="U15" s="203"/>
      <c r="V15" s="203"/>
    </row>
    <row r="16" spans="1:22" s="4" customFormat="1" ht="36" x14ac:dyDescent="0.2">
      <c r="A16" s="8" t="s">
        <v>1</v>
      </c>
      <c r="B16" s="8" t="s">
        <v>2</v>
      </c>
      <c r="C16" s="8" t="s">
        <v>3</v>
      </c>
      <c r="D16" s="8" t="s">
        <v>4</v>
      </c>
      <c r="E16" s="3"/>
      <c r="F16" s="2"/>
      <c r="T16" s="8" t="s">
        <v>9</v>
      </c>
      <c r="U16" s="8" t="s">
        <v>10</v>
      </c>
      <c r="V16" s="8" t="s">
        <v>11</v>
      </c>
    </row>
    <row r="17" spans="1:22" s="5" customFormat="1" ht="12" x14ac:dyDescent="0.2">
      <c r="A17" s="9">
        <v>40817</v>
      </c>
      <c r="B17" s="47">
        <v>628448001</v>
      </c>
      <c r="C17" s="47">
        <v>211424832</v>
      </c>
      <c r="D17" s="48">
        <f t="shared" ref="D17:D28" si="0">SUM(B17:C17)</f>
        <v>839872833</v>
      </c>
      <c r="T17" s="38">
        <f>(B17-'FY2011'!B18)/'FY2011'!B18</f>
        <v>-2.2995635625210287E-2</v>
      </c>
      <c r="U17" s="38">
        <f>(C17-'FY2011'!C18)/'FY2011'!C18</f>
        <v>3.203807534814767E-2</v>
      </c>
      <c r="V17" s="38">
        <f>(D17-'FY2011'!D18)/'FY2011'!D18</f>
        <v>-9.702072279721698E-3</v>
      </c>
    </row>
    <row r="18" spans="1:22" s="5" customFormat="1" ht="12" x14ac:dyDescent="0.2">
      <c r="A18" s="9">
        <v>40848</v>
      </c>
      <c r="B18" s="47">
        <v>621659635.08000004</v>
      </c>
      <c r="C18" s="47">
        <v>207728753.31</v>
      </c>
      <c r="D18" s="48">
        <f t="shared" si="0"/>
        <v>829388388.3900001</v>
      </c>
      <c r="T18" s="38">
        <f>(B18-'FY2011'!B19)/'FY2011'!B19</f>
        <v>0.10296930124541129</v>
      </c>
      <c r="U18" s="38">
        <f>(C18-'FY2011'!C19)/'FY2011'!C19</f>
        <v>6.8592451259139958E-2</v>
      </c>
      <c r="V18" s="38">
        <f>(D18-'FY2011'!D19)/'FY2011'!D19</f>
        <v>9.4153316662370506E-2</v>
      </c>
    </row>
    <row r="19" spans="1:22" s="5" customFormat="1" ht="12" x14ac:dyDescent="0.2">
      <c r="A19" s="9">
        <v>40878</v>
      </c>
      <c r="B19" s="47">
        <v>656784254</v>
      </c>
      <c r="C19" s="47">
        <v>221708758</v>
      </c>
      <c r="D19" s="48">
        <f t="shared" si="0"/>
        <v>878493012</v>
      </c>
      <c r="T19" s="38">
        <f>(B19-'FY2011'!B20)/'FY2011'!B20</f>
        <v>1.96832145254363E-2</v>
      </c>
      <c r="U19" s="38">
        <f>(C19-'FY2011'!C20)/'FY2011'!C20</f>
        <v>7.8931894557353027E-2</v>
      </c>
      <c r="V19" s="38">
        <f>(D19-'FY2011'!D20)/'FY2011'!D20</f>
        <v>3.4013518486008268E-2</v>
      </c>
    </row>
    <row r="20" spans="1:22" s="5" customFormat="1" ht="12" x14ac:dyDescent="0.2">
      <c r="A20" s="9">
        <v>40909</v>
      </c>
      <c r="B20" s="47">
        <v>610669972</v>
      </c>
      <c r="C20" s="47">
        <v>205884255</v>
      </c>
      <c r="D20" s="48">
        <f t="shared" si="0"/>
        <v>816554227</v>
      </c>
      <c r="T20" s="38">
        <f>(B20-'FY2011'!B21)/'FY2011'!B21</f>
        <v>6.6046694041398873E-2</v>
      </c>
      <c r="U20" s="38">
        <f>(C20-'FY2011'!C21)/'FY2011'!C21</f>
        <v>3.7092597086015401E-2</v>
      </c>
      <c r="V20" s="38">
        <f>(D20-'FY2011'!D21)/'FY2011'!D21</f>
        <v>5.8594907695455091E-2</v>
      </c>
    </row>
    <row r="21" spans="1:22" s="5" customFormat="1" ht="12" x14ac:dyDescent="0.2">
      <c r="A21" s="9">
        <v>40940</v>
      </c>
      <c r="B21" s="47">
        <v>626246437</v>
      </c>
      <c r="C21" s="47">
        <v>211128500</v>
      </c>
      <c r="D21" s="48">
        <f t="shared" si="0"/>
        <v>837374937</v>
      </c>
      <c r="T21" s="38">
        <f>(B21-'FY2011'!B22)/'FY2011'!B22</f>
        <v>0.10067990909508047</v>
      </c>
      <c r="U21" s="38">
        <f>(C21-'FY2011'!C22)/'FY2011'!C22</f>
        <v>0.13818310022804417</v>
      </c>
      <c r="V21" s="38">
        <f>(D21-'FY2011'!D22)/'FY2011'!D22</f>
        <v>0.10990067743133419</v>
      </c>
    </row>
    <row r="22" spans="1:22" s="5" customFormat="1" ht="12" x14ac:dyDescent="0.2">
      <c r="A22" s="9">
        <v>40969</v>
      </c>
      <c r="B22" s="47">
        <v>691400416.17999995</v>
      </c>
      <c r="C22" s="47">
        <v>220068302.31999999</v>
      </c>
      <c r="D22" s="48">
        <f t="shared" si="0"/>
        <v>911468718.5</v>
      </c>
      <c r="T22" s="38">
        <f>(B22-'FY2011'!B23)/'FY2011'!B23</f>
        <v>4.7470471429012409E-2</v>
      </c>
      <c r="U22" s="38">
        <f>(C22-'FY2011'!C23)/'FY2011'!C23</f>
        <v>9.3483114429893238E-2</v>
      </c>
      <c r="V22" s="38">
        <f>(D22-'FY2011'!D23)/'FY2011'!D23</f>
        <v>5.8221684792019793E-2</v>
      </c>
    </row>
    <row r="23" spans="1:22" s="5" customFormat="1" ht="12" x14ac:dyDescent="0.2">
      <c r="A23" s="9">
        <v>41000</v>
      </c>
      <c r="B23" s="47">
        <v>645492676.69000006</v>
      </c>
      <c r="C23" s="47">
        <v>211036392.41</v>
      </c>
      <c r="D23" s="48">
        <f t="shared" si="0"/>
        <v>856529069.10000002</v>
      </c>
      <c r="T23" s="38">
        <f>(B23-'FY2011'!B24)/'FY2011'!B24</f>
        <v>-2.858958203133569E-2</v>
      </c>
      <c r="U23" s="38">
        <f>(C23-'FY2011'!C24)/'FY2011'!C24</f>
        <v>3.8628932874637721E-2</v>
      </c>
      <c r="V23" s="38">
        <f>(D23-'FY2011'!D24)/'FY2011'!D24</f>
        <v>-1.2848758867996629E-2</v>
      </c>
    </row>
    <row r="24" spans="1:22" s="5" customFormat="1" ht="12" x14ac:dyDescent="0.2">
      <c r="A24" s="9">
        <v>41030</v>
      </c>
      <c r="B24" s="47">
        <v>718060180</v>
      </c>
      <c r="C24" s="47">
        <v>218710035</v>
      </c>
      <c r="D24" s="48">
        <f t="shared" si="0"/>
        <v>936770215</v>
      </c>
      <c r="T24" s="38">
        <f>(B24-'FY2011'!B25)/'FY2011'!B25</f>
        <v>5.9312658796819129E-2</v>
      </c>
      <c r="U24" s="38">
        <f>(C24-'FY2011'!C25)/'FY2011'!C25</f>
        <v>7.6007889260440331E-2</v>
      </c>
      <c r="V24" s="38">
        <f>(D24-'FY2011'!D25)/'FY2011'!D25</f>
        <v>6.3164007706127651E-2</v>
      </c>
    </row>
    <row r="25" spans="1:22" s="5" customFormat="1" ht="12" x14ac:dyDescent="0.2">
      <c r="A25" s="9">
        <v>41061</v>
      </c>
      <c r="B25" s="47">
        <v>742356437</v>
      </c>
      <c r="C25" s="47">
        <v>220505653</v>
      </c>
      <c r="D25" s="48">
        <f t="shared" si="0"/>
        <v>962862090</v>
      </c>
      <c r="T25" s="38">
        <f>(B25-'FY2011'!B26)/'FY2011'!B26</f>
        <v>3.9096850520066437E-2</v>
      </c>
      <c r="U25" s="38">
        <f>(C25-'FY2011'!C26)/'FY2011'!C26</f>
        <v>0.1515134334280438</v>
      </c>
      <c r="V25" s="38">
        <f>(D25-'FY2011'!D26)/'FY2011'!D26</f>
        <v>6.2859388512952266E-2</v>
      </c>
    </row>
    <row r="26" spans="1:22" s="5" customFormat="1" ht="12" x14ac:dyDescent="0.2">
      <c r="A26" s="9">
        <v>41091</v>
      </c>
      <c r="B26" s="47">
        <v>710657823</v>
      </c>
      <c r="C26" s="47">
        <v>211730585</v>
      </c>
      <c r="D26" s="48">
        <f t="shared" si="0"/>
        <v>922388408</v>
      </c>
      <c r="T26" s="38">
        <f>(B26-'FY2011'!B27)/'FY2011'!B27</f>
        <v>-2.4401532321660733E-2</v>
      </c>
      <c r="U26" s="38">
        <f>(C26-'FY2011'!C27)/'FY2011'!C27</f>
        <v>4.8238528466293389E-2</v>
      </c>
      <c r="V26" s="38">
        <f>(D26-'FY2011'!D27)/'FY2011'!D27</f>
        <v>-8.6319289931218943E-3</v>
      </c>
    </row>
    <row r="27" spans="1:22" s="5" customFormat="1" ht="12" x14ac:dyDescent="0.2">
      <c r="A27" s="9">
        <v>41122</v>
      </c>
      <c r="B27" s="47">
        <v>753939134.65999997</v>
      </c>
      <c r="C27" s="47">
        <v>224658336.80000001</v>
      </c>
      <c r="D27" s="48">
        <f t="shared" si="0"/>
        <v>978597471.46000004</v>
      </c>
      <c r="T27" s="38">
        <f>(B27-'FY2011'!B28)/'FY2011'!B28</f>
        <v>0.11295354432777309</v>
      </c>
      <c r="U27" s="38">
        <f>(C27-'FY2011'!C28)/'FY2011'!C28</f>
        <v>0.1357882280527978</v>
      </c>
      <c r="V27" s="38">
        <f>(D27-'FY2011'!D28)/'FY2011'!D28</f>
        <v>0.11811416857449154</v>
      </c>
    </row>
    <row r="28" spans="1:22" s="5" customFormat="1" ht="12" x14ac:dyDescent="0.2">
      <c r="A28" s="9">
        <v>41153</v>
      </c>
      <c r="B28" s="47">
        <v>684600825</v>
      </c>
      <c r="C28" s="47">
        <v>230461236</v>
      </c>
      <c r="D28" s="48">
        <f t="shared" si="0"/>
        <v>915062061</v>
      </c>
      <c r="T28" s="38">
        <f>(B28-'FY2011'!B29)/'FY2011'!B29</f>
        <v>2.6125017021873666E-2</v>
      </c>
      <c r="U28" s="38">
        <f>(C28-'FY2011'!C29)/'FY2011'!C29</f>
        <v>0.12337677897988966</v>
      </c>
      <c r="V28" s="38">
        <f>(D28-'FY2011'!D29)/'FY2011'!D29</f>
        <v>4.8996450858626639E-2</v>
      </c>
    </row>
    <row r="29" spans="1:22" s="6" customFormat="1" ht="12" x14ac:dyDescent="0.2">
      <c r="A29" s="108" t="s">
        <v>76</v>
      </c>
      <c r="B29" s="49">
        <f>SUM(B17:B28)</f>
        <v>8090315791.6099997</v>
      </c>
      <c r="C29" s="49">
        <f>SUM(C17:C28)</f>
        <v>2595045638.8400002</v>
      </c>
      <c r="D29" s="49">
        <f>SUM(D17:D28)</f>
        <v>10685361430.450001</v>
      </c>
      <c r="T29" s="39">
        <f>AVERAGE(T17:T28)</f>
        <v>4.1529242585388738E-2</v>
      </c>
      <c r="U29" s="39">
        <f>AVERAGE(U17:U28)</f>
        <v>8.5156251997558011E-2</v>
      </c>
      <c r="V29" s="39">
        <f>AVERAGE(V17:V28)</f>
        <v>5.1402946714878807E-2</v>
      </c>
    </row>
    <row r="30" spans="1:22" s="5" customFormat="1" ht="12" x14ac:dyDescent="0.2"/>
    <row r="31" spans="1:22" s="5" customFormat="1" x14ac:dyDescent="0.2">
      <c r="B31" s="202" t="s">
        <v>6</v>
      </c>
      <c r="C31" s="202"/>
      <c r="D31" s="202"/>
      <c r="T31" s="203" t="s">
        <v>6</v>
      </c>
      <c r="U31" s="203"/>
      <c r="V31" s="203"/>
    </row>
    <row r="32" spans="1:22" s="5" customFormat="1" ht="36" x14ac:dyDescent="0.2">
      <c r="A32" s="12" t="s">
        <v>1</v>
      </c>
      <c r="B32" s="12" t="s">
        <v>2</v>
      </c>
      <c r="C32" s="12" t="s">
        <v>3</v>
      </c>
      <c r="D32" s="12" t="s">
        <v>4</v>
      </c>
      <c r="T32" s="8" t="s">
        <v>9</v>
      </c>
      <c r="U32" s="8" t="s">
        <v>10</v>
      </c>
      <c r="V32" s="8" t="s">
        <v>11</v>
      </c>
    </row>
    <row r="33" spans="1:22" s="5" customFormat="1" ht="12" x14ac:dyDescent="0.2">
      <c r="A33" s="9">
        <v>40817</v>
      </c>
      <c r="B33" s="13">
        <v>5992303</v>
      </c>
      <c r="C33" s="13">
        <v>2837421</v>
      </c>
      <c r="D33" s="33">
        <f t="shared" ref="D33:D44" si="1">SUM(B33:C33)</f>
        <v>8829724</v>
      </c>
      <c r="T33" s="38">
        <f>(B33-'FY2011'!B34)/'FY2011'!B34</f>
        <v>9.8798680628087929E-2</v>
      </c>
      <c r="U33" s="38">
        <f>(C33-'FY2011'!C34)/'FY2011'!C34</f>
        <v>3.4545483714068827E-2</v>
      </c>
      <c r="V33" s="38">
        <f>(D33-'FY2011'!D34)/'FY2011'!D34</f>
        <v>7.729773560310671E-2</v>
      </c>
    </row>
    <row r="34" spans="1:22" s="5" customFormat="1" ht="12" x14ac:dyDescent="0.2">
      <c r="A34" s="9">
        <v>40848</v>
      </c>
      <c r="B34" s="13">
        <v>5689902</v>
      </c>
      <c r="C34" s="13">
        <v>2768231</v>
      </c>
      <c r="D34" s="33">
        <f t="shared" si="1"/>
        <v>8458133</v>
      </c>
      <c r="T34" s="38">
        <f>(B34-'FY2011'!B35)/'FY2011'!B35</f>
        <v>9.1704990520805968E-2</v>
      </c>
      <c r="U34" s="38">
        <f>(C34-'FY2011'!C35)/'FY2011'!C35</f>
        <v>6.3750946267383465E-2</v>
      </c>
      <c r="V34" s="38">
        <f>(D34-'FY2011'!D35)/'FY2011'!D35</f>
        <v>8.2395657893103533E-2</v>
      </c>
    </row>
    <row r="35" spans="1:22" s="5" customFormat="1" ht="12" x14ac:dyDescent="0.2">
      <c r="A35" s="9">
        <v>40878</v>
      </c>
      <c r="B35" s="13">
        <v>5919220</v>
      </c>
      <c r="C35" s="13">
        <v>2856005</v>
      </c>
      <c r="D35" s="33">
        <f t="shared" si="1"/>
        <v>8775225</v>
      </c>
      <c r="T35" s="38">
        <f>(B35-'FY2011'!B36)/'FY2011'!B36</f>
        <v>7.2914510434562263E-2</v>
      </c>
      <c r="U35" s="38">
        <f>(C35-'FY2011'!C36)/'FY2011'!C36</f>
        <v>6.9541816727439948E-2</v>
      </c>
      <c r="V35" s="38">
        <f>(D35-'FY2011'!D36)/'FY2011'!D36</f>
        <v>7.1814493271925739E-2</v>
      </c>
    </row>
    <row r="36" spans="1:22" s="5" customFormat="1" ht="12" x14ac:dyDescent="0.2">
      <c r="A36" s="9">
        <v>40909</v>
      </c>
      <c r="B36" s="13">
        <v>5934772</v>
      </c>
      <c r="C36" s="13">
        <v>2773958</v>
      </c>
      <c r="D36" s="33">
        <f t="shared" si="1"/>
        <v>8708730</v>
      </c>
      <c r="T36" s="38">
        <f>(B36-'FY2011'!B37)/'FY2011'!B37</f>
        <v>8.41997978396649E-2</v>
      </c>
      <c r="U36" s="38">
        <f>(C36-'FY2011'!C37)/'FY2011'!C37</f>
        <v>4.9038171726442703E-2</v>
      </c>
      <c r="V36" s="38">
        <f>(D36-'FY2011'!D37)/'FY2011'!D37</f>
        <v>7.2746780058535437E-2</v>
      </c>
    </row>
    <row r="37" spans="1:22" s="5" customFormat="1" ht="12" x14ac:dyDescent="0.2">
      <c r="A37" s="9">
        <v>40940</v>
      </c>
      <c r="B37" s="13">
        <v>6133125</v>
      </c>
      <c r="C37" s="13">
        <v>2807394</v>
      </c>
      <c r="D37" s="33">
        <f t="shared" si="1"/>
        <v>8940519</v>
      </c>
      <c r="T37" s="38">
        <f>(B37-'FY2011'!B38)/'FY2011'!B38</f>
        <v>0.11214743804206563</v>
      </c>
      <c r="U37" s="38">
        <f>(C37-'FY2011'!C38)/'FY2011'!C38</f>
        <v>0.13279067618556115</v>
      </c>
      <c r="V37" s="38">
        <f>(D37-'FY2011'!D38)/'FY2011'!D38</f>
        <v>0.11854807876123112</v>
      </c>
    </row>
    <row r="38" spans="1:22" s="5" customFormat="1" ht="12" x14ac:dyDescent="0.2">
      <c r="A38" s="9">
        <v>40969</v>
      </c>
      <c r="B38" s="13">
        <v>6795680</v>
      </c>
      <c r="C38" s="13">
        <v>2996465</v>
      </c>
      <c r="D38" s="33">
        <f t="shared" si="1"/>
        <v>9792145</v>
      </c>
      <c r="T38" s="38">
        <f>(B38-'FY2011'!B39)/'FY2011'!B39</f>
        <v>6.3931417968293158E-2</v>
      </c>
      <c r="U38" s="38">
        <f>(C38-'FY2011'!C39)/'FY2011'!C39</f>
        <v>8.8344930011321238E-2</v>
      </c>
      <c r="V38" s="38">
        <f>(D38-'FY2011'!D39)/'FY2011'!D39</f>
        <v>7.1285019736208724E-2</v>
      </c>
    </row>
    <row r="39" spans="1:22" s="5" customFormat="1" ht="12" x14ac:dyDescent="0.2">
      <c r="A39" s="9">
        <v>41000</v>
      </c>
      <c r="B39" s="13">
        <v>6426850</v>
      </c>
      <c r="C39" s="13">
        <v>2890871</v>
      </c>
      <c r="D39" s="33">
        <f t="shared" si="1"/>
        <v>9317721</v>
      </c>
      <c r="T39" s="38">
        <f>(B39-'FY2011'!B40)/'FY2011'!B40</f>
        <v>5.0194144201704732E-2</v>
      </c>
      <c r="U39" s="38">
        <f>(C39-'FY2011'!C40)/'FY2011'!C40</f>
        <v>5.6993930148998555E-2</v>
      </c>
      <c r="V39" s="38">
        <f>(D39-'FY2011'!D40)/'FY2011'!D40</f>
        <v>5.2294433073797997E-2</v>
      </c>
    </row>
    <row r="40" spans="1:22" s="5" customFormat="1" ht="12" x14ac:dyDescent="0.2">
      <c r="A40" s="9">
        <v>41030</v>
      </c>
      <c r="B40" s="13">
        <v>7078331</v>
      </c>
      <c r="C40" s="13">
        <v>3045930</v>
      </c>
      <c r="D40" s="33">
        <f t="shared" si="1"/>
        <v>10124261</v>
      </c>
      <c r="T40" s="38">
        <f>(B40-'FY2011'!B41)/'FY2011'!B41</f>
        <v>0.12519488901182052</v>
      </c>
      <c r="U40" s="38">
        <f>(C40-'FY2011'!C41)/'FY2011'!C41</f>
        <v>0.10725537945452424</v>
      </c>
      <c r="V40" s="38">
        <f>(D40-'FY2011'!D41)/'FY2011'!D41</f>
        <v>0.11973686640801899</v>
      </c>
    </row>
    <row r="41" spans="1:22" s="5" customFormat="1" ht="12" x14ac:dyDescent="0.2">
      <c r="A41" s="9">
        <v>41061</v>
      </c>
      <c r="B41" s="13">
        <v>7116306</v>
      </c>
      <c r="C41" s="13">
        <v>3017903</v>
      </c>
      <c r="D41" s="33">
        <f t="shared" si="1"/>
        <v>10134209</v>
      </c>
      <c r="T41" s="38">
        <f>(B41-'FY2011'!B42)/'FY2011'!B42</f>
        <v>9.0673760952247828E-2</v>
      </c>
      <c r="U41" s="38">
        <f>(C41-'FY2011'!C42)/'FY2011'!C42</f>
        <v>0.14429977826109378</v>
      </c>
      <c r="V41" s="38">
        <f>(D41-'FY2011'!D42)/'FY2011'!D42</f>
        <v>0.10611028742120737</v>
      </c>
    </row>
    <row r="42" spans="1:22" s="5" customFormat="1" ht="12" x14ac:dyDescent="0.2">
      <c r="A42" s="9">
        <v>41091</v>
      </c>
      <c r="B42" s="13">
        <v>7002637</v>
      </c>
      <c r="C42" s="13">
        <v>2930068</v>
      </c>
      <c r="D42" s="33">
        <f t="shared" si="1"/>
        <v>9932705</v>
      </c>
      <c r="T42" s="38">
        <f>(B42-'FY2011'!B43)/'FY2011'!B43</f>
        <v>2.2790734902209828E-2</v>
      </c>
      <c r="U42" s="38">
        <f>(C42-'FY2011'!C43)/'FY2011'!C43</f>
        <v>8.7600271262741419E-2</v>
      </c>
      <c r="V42" s="38">
        <f>(D42-'FY2011'!D43)/'FY2011'!D43</f>
        <v>4.1091475279762993E-2</v>
      </c>
    </row>
    <row r="43" spans="1:22" s="5" customFormat="1" ht="12" x14ac:dyDescent="0.2">
      <c r="A43" s="9">
        <v>41122</v>
      </c>
      <c r="B43" s="13">
        <v>7103612</v>
      </c>
      <c r="C43" s="13">
        <v>3129911</v>
      </c>
      <c r="D43" s="33">
        <f t="shared" si="1"/>
        <v>10233523</v>
      </c>
      <c r="T43" s="38">
        <f>(B43-'FY2011'!B44)/'FY2011'!B44</f>
        <v>8.1175050644798463E-2</v>
      </c>
      <c r="U43" s="38">
        <f>(C43-'FY2011'!C44)/'FY2011'!C44</f>
        <v>0.15862852979925543</v>
      </c>
      <c r="V43" s="38">
        <f>(D43-'FY2011'!D44)/'FY2011'!D44</f>
        <v>0.10374190692651361</v>
      </c>
    </row>
    <row r="44" spans="1:22" s="5" customFormat="1" ht="12" x14ac:dyDescent="0.2">
      <c r="A44" s="9">
        <v>41153</v>
      </c>
      <c r="B44" s="13">
        <v>6338697</v>
      </c>
      <c r="C44" s="13">
        <v>3117200</v>
      </c>
      <c r="D44" s="33">
        <f t="shared" si="1"/>
        <v>9455897</v>
      </c>
      <c r="T44" s="38">
        <f>(B44-'FY2011'!B45)/'FY2011'!B45</f>
        <v>2.3089781993501559E-2</v>
      </c>
      <c r="U44" s="38">
        <f>(C44-'FY2011'!C45)/'FY2011'!C45</f>
        <v>0.13449922915778026</v>
      </c>
      <c r="V44" s="38">
        <f>(D44-'FY2011'!D45)/'FY2011'!D45</f>
        <v>5.7318088375803745E-2</v>
      </c>
    </row>
    <row r="45" spans="1:22" s="6" customFormat="1" ht="12" x14ac:dyDescent="0.2">
      <c r="A45" s="108" t="s">
        <v>76</v>
      </c>
      <c r="B45" s="40">
        <f>SUM(B33:B44)</f>
        <v>77531435</v>
      </c>
      <c r="C45" s="40">
        <f>SUM(C33:C44)</f>
        <v>35171357</v>
      </c>
      <c r="D45" s="40">
        <f>SUM(D33:D44)</f>
        <v>112702792</v>
      </c>
      <c r="T45" s="39">
        <f>AVERAGE(T33:T44)</f>
        <v>7.6401266428313575E-2</v>
      </c>
      <c r="U45" s="39">
        <f>AVERAGE(U33:U44)</f>
        <v>9.3940761893050909E-2</v>
      </c>
      <c r="V45" s="39">
        <f>AVERAGE(V33:V44)</f>
        <v>8.1198401900768005E-2</v>
      </c>
    </row>
    <row r="46" spans="1:22" s="6" customFormat="1" ht="12" x14ac:dyDescent="0.2">
      <c r="A46" s="17"/>
      <c r="B46" s="85"/>
      <c r="C46" s="85"/>
      <c r="D46" s="85"/>
      <c r="T46" s="51"/>
      <c r="U46" s="51"/>
      <c r="V46" s="51"/>
    </row>
    <row r="47" spans="1:22" s="6" customFormat="1" ht="12" x14ac:dyDescent="0.2">
      <c r="A47" s="17"/>
      <c r="B47" s="17"/>
      <c r="C47" s="17"/>
      <c r="D47" s="17"/>
      <c r="T47" s="18"/>
      <c r="U47" s="18"/>
      <c r="V47" s="18"/>
    </row>
    <row r="48" spans="1:22" s="6" customFormat="1" x14ac:dyDescent="0.2">
      <c r="A48" s="5"/>
      <c r="B48" s="202" t="s">
        <v>29</v>
      </c>
      <c r="C48" s="202"/>
      <c r="D48" s="202"/>
      <c r="T48" s="203" t="s">
        <v>29</v>
      </c>
      <c r="U48" s="203"/>
      <c r="V48" s="203"/>
    </row>
    <row r="49" spans="1:22" s="6" customFormat="1" ht="36" x14ac:dyDescent="0.2">
      <c r="A49" s="12" t="s">
        <v>1</v>
      </c>
      <c r="B49" s="12" t="s">
        <v>2</v>
      </c>
      <c r="C49" s="12" t="s">
        <v>3</v>
      </c>
      <c r="D49" s="12" t="s">
        <v>4</v>
      </c>
      <c r="T49" s="8" t="s">
        <v>9</v>
      </c>
      <c r="U49" s="8" t="s">
        <v>10</v>
      </c>
      <c r="V49" s="8" t="s">
        <v>11</v>
      </c>
    </row>
    <row r="50" spans="1:22" s="6" customFormat="1" ht="12" x14ac:dyDescent="0.2">
      <c r="A50" s="9">
        <v>40817</v>
      </c>
      <c r="B50" s="86">
        <f t="shared" ref="B50:D62" si="2">B17/B33</f>
        <v>104.87587176416146</v>
      </c>
      <c r="C50" s="86">
        <f t="shared" si="2"/>
        <v>74.513028556565985</v>
      </c>
      <c r="D50" s="86">
        <f t="shared" ref="D50:D61" si="3">D17/D33</f>
        <v>95.118809262894288</v>
      </c>
      <c r="T50" s="38">
        <f>(B50-'FY2011'!B51)/'FY2011'!B51</f>
        <v>-0.1108431584425265</v>
      </c>
      <c r="U50" s="38">
        <f>(C50-'FY2011'!C51)/'FY2011'!C51</f>
        <v>-2.4236811289527877E-3</v>
      </c>
      <c r="V50" s="38">
        <f>(D50-'FY2011'!D51)/'FY2011'!D51</f>
        <v>-8.0757440591966947E-2</v>
      </c>
    </row>
    <row r="51" spans="1:22" s="6" customFormat="1" ht="12" x14ac:dyDescent="0.2">
      <c r="A51" s="9">
        <v>40848</v>
      </c>
      <c r="B51" s="86">
        <f t="shared" si="2"/>
        <v>109.2566506558461</v>
      </c>
      <c r="C51" s="86">
        <f t="shared" si="2"/>
        <v>75.040252533115918</v>
      </c>
      <c r="D51" s="86">
        <f t="shared" si="3"/>
        <v>98.058092535314842</v>
      </c>
      <c r="T51" s="38">
        <f>(B51-'FY2011'!B52)/'FY2011'!B52</f>
        <v>1.0318090347129024E-2</v>
      </c>
      <c r="U51" s="38">
        <f>(C51-'FY2011'!C52)/'FY2011'!C52</f>
        <v>4.5513519952625472E-3</v>
      </c>
      <c r="V51" s="38">
        <f>(D51-'FY2011'!D52)/'FY2011'!D52</f>
        <v>1.0862625587535509E-2</v>
      </c>
    </row>
    <row r="52" spans="1:22" s="6" customFormat="1" ht="12" x14ac:dyDescent="0.2">
      <c r="A52" s="9">
        <v>40878</v>
      </c>
      <c r="B52" s="86">
        <f t="shared" si="2"/>
        <v>110.95790560242735</v>
      </c>
      <c r="C52" s="86">
        <f t="shared" si="2"/>
        <v>77.628981041699859</v>
      </c>
      <c r="D52" s="86">
        <f t="shared" si="3"/>
        <v>100.11059682230371</v>
      </c>
      <c r="T52" s="38">
        <f>(B52-'FY2011'!B53)/'FY2011'!B53</f>
        <v>-4.9613734730426684E-2</v>
      </c>
      <c r="U52" s="38">
        <f>(C52-'FY2011'!C53)/'FY2011'!C53</f>
        <v>8.7795331449915578E-3</v>
      </c>
      <c r="V52" s="38">
        <f>(D52-'FY2011'!D53)/'FY2011'!D53</f>
        <v>-3.5268206413707349E-2</v>
      </c>
    </row>
    <row r="53" spans="1:22" s="6" customFormat="1" ht="12" x14ac:dyDescent="0.2">
      <c r="A53" s="9">
        <v>40909</v>
      </c>
      <c r="B53" s="86">
        <f t="shared" si="2"/>
        <v>102.89695577184769</v>
      </c>
      <c r="C53" s="86">
        <f t="shared" si="2"/>
        <v>74.220393747850551</v>
      </c>
      <c r="D53" s="86">
        <f t="shared" si="3"/>
        <v>93.762721659759805</v>
      </c>
      <c r="T53" s="38">
        <f>(B53-'FY2011'!B54)/'FY2011'!B54</f>
        <v>-1.6743319667128838E-2</v>
      </c>
      <c r="U53" s="38">
        <f>(C53-'FY2011'!C54)/'FY2011'!C54</f>
        <v>-1.1387168705947066E-2</v>
      </c>
      <c r="V53" s="38">
        <f>(D53-'FY2011'!D54)/'FY2011'!D54</f>
        <v>-1.3192183492089497E-2</v>
      </c>
    </row>
    <row r="54" spans="1:22" s="6" customFormat="1" ht="12" x14ac:dyDescent="0.2">
      <c r="A54" s="9">
        <v>40940</v>
      </c>
      <c r="B54" s="86">
        <f t="shared" si="2"/>
        <v>102.1088657087537</v>
      </c>
      <c r="C54" s="86">
        <f t="shared" si="2"/>
        <v>75.204442269236168</v>
      </c>
      <c r="D54" s="86">
        <f t="shared" si="3"/>
        <v>93.660662988356719</v>
      </c>
      <c r="T54" s="38">
        <f>(B54-'FY2011'!B55)/'FY2011'!B55</f>
        <v>-1.0311158893800652E-2</v>
      </c>
      <c r="U54" s="38">
        <f>(C54-'FY2011'!C55)/'FY2011'!C55</f>
        <v>4.7603005178687595E-3</v>
      </c>
      <c r="V54" s="38">
        <f>(D54-'FY2011'!D55)/'FY2011'!D55</f>
        <v>-7.7309160813844391E-3</v>
      </c>
    </row>
    <row r="55" spans="1:22" s="6" customFormat="1" ht="12" x14ac:dyDescent="0.2">
      <c r="A55" s="9">
        <v>40969</v>
      </c>
      <c r="B55" s="86">
        <f t="shared" si="2"/>
        <v>101.74116735632047</v>
      </c>
      <c r="C55" s="86">
        <f t="shared" si="2"/>
        <v>73.442640684940415</v>
      </c>
      <c r="D55" s="86">
        <f t="shared" si="3"/>
        <v>93.081619859591541</v>
      </c>
      <c r="T55" s="38">
        <f>(B55-'FY2011'!B56)/'FY2011'!B56</f>
        <v>-1.547181168003754E-2</v>
      </c>
      <c r="U55" s="38">
        <f>(C55-'FY2011'!C56)/'FY2011'!C56</f>
        <v>4.7210992369104794E-3</v>
      </c>
      <c r="V55" s="38">
        <f>(D55-'FY2011'!D56)/'FY2011'!D56</f>
        <v>-1.2194079729972928E-2</v>
      </c>
    </row>
    <row r="56" spans="1:22" s="6" customFormat="1" ht="12" x14ac:dyDescent="0.2">
      <c r="A56" s="9">
        <v>41000</v>
      </c>
      <c r="B56" s="86">
        <f t="shared" si="2"/>
        <v>100.43686669052492</v>
      </c>
      <c r="C56" s="86">
        <f t="shared" si="2"/>
        <v>73.00097182129538</v>
      </c>
      <c r="D56" s="86">
        <f t="shared" si="3"/>
        <v>91.924738796106908</v>
      </c>
      <c r="T56" s="38">
        <f>(B56-'FY2011'!B57)/'FY2011'!B57</f>
        <v>-7.5018249404663243E-2</v>
      </c>
      <c r="U56" s="38">
        <f>(C56-'FY2011'!C57)/'FY2011'!C57</f>
        <v>-1.7374742418598436E-2</v>
      </c>
      <c r="V56" s="38">
        <f>(D56-'FY2011'!D57)/'FY2011'!D57</f>
        <v>-6.1905860084718371E-2</v>
      </c>
    </row>
    <row r="57" spans="1:22" s="6" customFormat="1" ht="12" x14ac:dyDescent="0.2">
      <c r="A57" s="9">
        <v>41030</v>
      </c>
      <c r="B57" s="86">
        <f t="shared" si="2"/>
        <v>101.44484342424789</v>
      </c>
      <c r="C57" s="86">
        <f t="shared" si="2"/>
        <v>71.804025371561394</v>
      </c>
      <c r="D57" s="86">
        <f t="shared" si="3"/>
        <v>92.527268410010365</v>
      </c>
      <c r="T57" s="38">
        <f>(B57-'FY2011'!B58)/'FY2011'!B58</f>
        <v>-5.8551839204372076E-2</v>
      </c>
      <c r="U57" s="38">
        <f>(C57-'FY2011'!C58)/'FY2011'!C58</f>
        <v>-2.8220671377074284E-2</v>
      </c>
      <c r="V57" s="38">
        <f>(D57-'FY2011'!D58)/'FY2011'!D58</f>
        <v>-5.052335097563615E-2</v>
      </c>
    </row>
    <row r="58" spans="1:22" s="6" customFormat="1" ht="12" x14ac:dyDescent="0.2">
      <c r="A58" s="9">
        <v>41061</v>
      </c>
      <c r="B58" s="86">
        <f t="shared" si="2"/>
        <v>104.31766663771906</v>
      </c>
      <c r="C58" s="86">
        <f t="shared" si="2"/>
        <v>73.065851685756627</v>
      </c>
      <c r="D58" s="86">
        <f t="shared" si="3"/>
        <v>95.011074865339765</v>
      </c>
      <c r="T58" s="38">
        <f>(B58-'FY2011'!B59)/'FY2011'!B59</f>
        <v>-4.7289035712338542E-2</v>
      </c>
      <c r="U58" s="38">
        <f>(C58-'FY2011'!C59)/'FY2011'!C59</f>
        <v>6.3039907059248739E-3</v>
      </c>
      <c r="V58" s="38">
        <f>(D58-'FY2011'!D59)/'FY2011'!D59</f>
        <v>-3.9101796086799305E-2</v>
      </c>
    </row>
    <row r="59" spans="1:22" s="6" customFormat="1" ht="12" x14ac:dyDescent="0.2">
      <c r="A59" s="9">
        <v>41091</v>
      </c>
      <c r="B59" s="86">
        <f t="shared" si="2"/>
        <v>101.48431555141299</v>
      </c>
      <c r="C59" s="86">
        <f t="shared" si="2"/>
        <v>72.261321238961003</v>
      </c>
      <c r="D59" s="86">
        <f t="shared" si="3"/>
        <v>92.863767523549726</v>
      </c>
      <c r="T59" s="38">
        <f>(B59-'FY2011'!B60)/'FY2011'!B60</f>
        <v>-4.6140687056949806E-2</v>
      </c>
      <c r="U59" s="38">
        <f>(C59-'FY2011'!C60)/'FY2011'!C60</f>
        <v>-3.6191369050274175E-2</v>
      </c>
      <c r="V59" s="38">
        <f>(D59-'FY2011'!D60)/'FY2011'!D60</f>
        <v>-4.7760840861292481E-2</v>
      </c>
    </row>
    <row r="60" spans="1:22" s="6" customFormat="1" ht="12" x14ac:dyDescent="0.2">
      <c r="A60" s="9">
        <v>41122</v>
      </c>
      <c r="B60" s="86">
        <f t="shared" si="2"/>
        <v>106.13461639796768</v>
      </c>
      <c r="C60" s="86">
        <f t="shared" si="2"/>
        <v>71.77786742178931</v>
      </c>
      <c r="D60" s="86">
        <f t="shared" si="3"/>
        <v>95.626645042963219</v>
      </c>
      <c r="T60" s="38">
        <f>(B60-'FY2011'!B61)/'FY2011'!B61</f>
        <v>2.9392551801877369E-2</v>
      </c>
      <c r="U60" s="38">
        <f>(C60-'FY2011'!C61)/'FY2011'!C61</f>
        <v>-1.9713222278770367E-2</v>
      </c>
      <c r="V60" s="38">
        <f>(D60-'FY2011'!D61)/'FY2011'!D61</f>
        <v>1.3021397083670604E-2</v>
      </c>
    </row>
    <row r="61" spans="1:22" s="6" customFormat="1" ht="12" x14ac:dyDescent="0.2">
      <c r="A61" s="9">
        <v>41153</v>
      </c>
      <c r="B61" s="86">
        <f t="shared" si="2"/>
        <v>108.00339959458545</v>
      </c>
      <c r="C61" s="86">
        <f t="shared" si="2"/>
        <v>73.932130116771461</v>
      </c>
      <c r="D61" s="86">
        <f t="shared" si="3"/>
        <v>96.771576615100614</v>
      </c>
      <c r="T61" s="38">
        <f>(B61-'FY2011'!B62)/'FY2011'!B62</f>
        <v>2.9667337918846651E-3</v>
      </c>
      <c r="U61" s="38">
        <f>(C61-'FY2011'!C62)/'FY2011'!C62</f>
        <v>-9.8038411063068754E-3</v>
      </c>
      <c r="V61" s="38">
        <f>(D61-'FY2011'!D62)/'FY2011'!D62</f>
        <v>-7.8705146622057402E-3</v>
      </c>
    </row>
    <row r="62" spans="1:22" s="6" customFormat="1" ht="12" x14ac:dyDescent="0.2">
      <c r="A62" s="108" t="s">
        <v>76</v>
      </c>
      <c r="B62" s="87">
        <f t="shared" si="2"/>
        <v>104.34884626616288</v>
      </c>
      <c r="C62" s="87">
        <f t="shared" si="2"/>
        <v>73.782926227156949</v>
      </c>
      <c r="D62" s="87">
        <f t="shared" si="2"/>
        <v>94.810086252787784</v>
      </c>
      <c r="T62" s="39">
        <f>AVERAGE(T50:T61)</f>
        <v>-3.227546823761273E-2</v>
      </c>
      <c r="U62" s="39">
        <f>AVERAGE(U50:U61)</f>
        <v>-7.9998683720804813E-3</v>
      </c>
      <c r="V62" s="39">
        <f>AVERAGE(V50:V61)</f>
        <v>-2.7701763859047258E-2</v>
      </c>
    </row>
    <row r="63" spans="1:22" s="6" customFormat="1" ht="12" x14ac:dyDescent="0.2">
      <c r="A63" s="17"/>
      <c r="B63" s="84"/>
      <c r="C63" s="84"/>
      <c r="D63" s="84"/>
      <c r="T63" s="18"/>
      <c r="U63" s="18"/>
      <c r="V63" s="18"/>
    </row>
    <row r="64" spans="1:22" s="5" customFormat="1" ht="13.5" customHeight="1" x14ac:dyDescent="0.2"/>
    <row r="65" spans="1:22" s="5" customFormat="1" x14ac:dyDescent="0.2">
      <c r="B65" s="202" t="s">
        <v>7</v>
      </c>
      <c r="C65" s="202"/>
      <c r="D65" s="202"/>
      <c r="T65" s="203" t="s">
        <v>7</v>
      </c>
      <c r="U65" s="203"/>
      <c r="V65" s="203"/>
    </row>
    <row r="66" spans="1:22" s="5" customFormat="1" ht="36" x14ac:dyDescent="0.2">
      <c r="A66" s="12" t="s">
        <v>1</v>
      </c>
      <c r="B66" s="12" t="s">
        <v>2</v>
      </c>
      <c r="C66" s="12" t="s">
        <v>50</v>
      </c>
      <c r="D66" s="12" t="s">
        <v>4</v>
      </c>
      <c r="T66" s="8" t="s">
        <v>9</v>
      </c>
      <c r="U66" s="8" t="s">
        <v>10</v>
      </c>
      <c r="V66" s="8" t="s">
        <v>11</v>
      </c>
    </row>
    <row r="67" spans="1:22" s="5" customFormat="1" ht="12" x14ac:dyDescent="0.2">
      <c r="A67" s="9">
        <v>40817</v>
      </c>
      <c r="B67" s="43">
        <f>6824003+429601+2456428.97</f>
        <v>9710032.9700000007</v>
      </c>
      <c r="C67" s="41">
        <f>22684.59+186.97+1.14+104932.4+4785.34+2.29+31.15+6026.63+25293.08+164171.38+0.53+649.22+5348.11+4692.78+222600.38+1458.75+3172.6+44370.12+67.13+7724.14+29545.29+16099.44+1942.71+413.49+35021.8+5205.84+45+2.97+6.73+29.7+1.4</f>
        <v>706513.09999999986</v>
      </c>
      <c r="D67" s="41">
        <f t="shared" ref="D67:D78" si="4">SUM(B67:C67)</f>
        <v>10416546.07</v>
      </c>
      <c r="T67" s="38">
        <f>(B67-'FY2011'!B68)/'FY2011'!B68</f>
        <v>-9.7092898395857677E-2</v>
      </c>
      <c r="U67" s="38">
        <f>(C67-'FY2011'!C68)/'FY2011'!C68</f>
        <v>-0.18769932615131063</v>
      </c>
      <c r="V67" s="38">
        <f>(D67-'FY2011'!D68)/'FY2011'!D68</f>
        <v>-0.10387256671227496</v>
      </c>
    </row>
    <row r="68" spans="1:22" s="5" customFormat="1" ht="12" x14ac:dyDescent="0.2">
      <c r="A68" s="9">
        <v>40848</v>
      </c>
      <c r="B68" s="43">
        <f>6804821.68+454689.54+2375375.72</f>
        <v>9634886.9399999995</v>
      </c>
      <c r="C68" s="41">
        <f>24624.19+177.73+1.84+103309.2+4582.23+33.77+3598.65+27851.43+162654.24+743.01+48.46+8462.11+5554.68+232310.81+1267+3206.15+47520.36+105.86+7797.01+27794.12+18762.7+2124.62+425.85+33953.55+2961.37+43.08+0.93+9.33+33.35+1.6</f>
        <v>719959.22999999986</v>
      </c>
      <c r="D68" s="41">
        <f t="shared" si="4"/>
        <v>10354846.17</v>
      </c>
      <c r="T68" s="38">
        <f>(B68-'FY2011'!B69)/'FY2011'!B69</f>
        <v>4.3906515771147153E-2</v>
      </c>
      <c r="U68" s="38">
        <f>(C68-'FY2011'!C69)/'FY2011'!C69</f>
        <v>-0.11851624022556699</v>
      </c>
      <c r="V68" s="38">
        <f>(D68-'FY2011'!D69)/'FY2011'!D69</f>
        <v>3.0701776306176914E-2</v>
      </c>
    </row>
    <row r="69" spans="1:22" s="5" customFormat="1" ht="12" x14ac:dyDescent="0.2">
      <c r="A69" s="9">
        <v>40878</v>
      </c>
      <c r="B69" s="43">
        <f>7189816+2497204+462721</f>
        <v>10149741</v>
      </c>
      <c r="C69" s="41">
        <f>26027.74+171.11+106915.2+4806.24+34.45+3914.63+29189.38+169763.05+31.09+766.3+10696.51+5907.65+237727.67+1359.75+3425.74+51962.78+71.29+5915.29+29043.7+20306.16+2151.81+420.51+36074.35+3250.95+26.78+1.89+6.07+22.18+1.33</f>
        <v>749991.60000000009</v>
      </c>
      <c r="D69" s="41">
        <f t="shared" si="4"/>
        <v>10899732.6</v>
      </c>
      <c r="T69" s="38">
        <f>(B69-'FY2011'!B70)/'FY2011'!B70</f>
        <v>-4.3145101027681085E-2</v>
      </c>
      <c r="U69" s="38">
        <f>(C69-'FY2011'!C70)/'FY2011'!C70</f>
        <v>-0.12790926043063008</v>
      </c>
      <c r="V69" s="38">
        <f>(D69-'FY2011'!D70)/'FY2011'!D70</f>
        <v>-4.950195693555879E-2</v>
      </c>
    </row>
    <row r="70" spans="1:22" s="5" customFormat="1" ht="12" x14ac:dyDescent="0.2">
      <c r="A70" s="9">
        <v>40909</v>
      </c>
      <c r="B70" s="43">
        <f>6698418+2308876+387066</f>
        <v>9394360</v>
      </c>
      <c r="C70" s="43">
        <f>23762.01+160.19+97121+4166.51+26.7+3312.1+26711.77+143232.78+1687.54+767.95+8626.39+5225.5+246718.91+1251.5+3164.64+50009.62+53.64+4378.32+26355.95+18339.55+2104.89+401.8+32231.73+1.37+2854.63+25.58+1.91+6.68+21.78+2.16</f>
        <v>702725.10000000009</v>
      </c>
      <c r="D70" s="41">
        <f t="shared" si="4"/>
        <v>10097085.1</v>
      </c>
      <c r="T70" s="38">
        <f>(B70-'FY2011'!B71)/'FY2011'!B71</f>
        <v>9.6860303519766475E-3</v>
      </c>
      <c r="U70" s="38">
        <f>(C70-'FY2011'!C71)/'FY2011'!C71</f>
        <v>-0.1397485964367913</v>
      </c>
      <c r="V70" s="38">
        <f>(D70-'FY2011'!D71)/'FY2011'!D71</f>
        <v>-2.3749510537234056E-3</v>
      </c>
    </row>
    <row r="71" spans="1:22" s="5" customFormat="1" ht="12" x14ac:dyDescent="0.2">
      <c r="A71" s="9">
        <v>40940</v>
      </c>
      <c r="B71" s="43">
        <f>390771+6773670+2305396.18</f>
        <v>9469837.1799999997</v>
      </c>
      <c r="C71" s="43">
        <f>180.1+24845.27+98668.6+4427.57+32.9+3369.03+26721.19+124107.34+1916.87+811.26+10350.84+5329.86+273446.56+1271.25+3189.72+50373.67+56.65+4437.17+88.03+26608.05+24232.47+2049.83+413.13+32652.3+20.03+2880.29+141.93+1.42+11.35+25.95+2.16</f>
        <v>722662.79000000027</v>
      </c>
      <c r="D71" s="41">
        <f t="shared" si="4"/>
        <v>10192499.970000001</v>
      </c>
      <c r="T71" s="38">
        <f>(B71-'FY2011'!B72)/'FY2011'!B72</f>
        <v>3.2892822602134046E-2</v>
      </c>
      <c r="U71" s="38">
        <f>(C71-'FY2011'!C72)/'FY2011'!C72</f>
        <v>-0.13049629356014314</v>
      </c>
      <c r="V71" s="38">
        <f>(D71-'FY2011'!D72)/'FY2011'!D72</f>
        <v>1.9312378917589825E-2</v>
      </c>
    </row>
    <row r="72" spans="1:22" s="5" customFormat="1" ht="12" x14ac:dyDescent="0.2">
      <c r="A72" s="9">
        <v>40969</v>
      </c>
      <c r="B72" s="43">
        <f>7457079.57+449421.82+2630806.82</f>
        <v>10537308.210000001</v>
      </c>
      <c r="C72" s="43">
        <f>27381.36+209.35+104236+4836.64+24.37+3697.38+24474.63+107068.83+1.43+2206.81+861.55+6779.69+5718.06+323884.89+1022+3460.45+57373.24+69.17+7270.9+77.54+31207.64+29246.22+2205.45+423.38+37772.55+1.48+3186.77+21.2+1.21+10.13+15+0.78</f>
        <v>784746.1</v>
      </c>
      <c r="D72" s="41">
        <f t="shared" si="4"/>
        <v>11322054.310000001</v>
      </c>
      <c r="T72" s="38">
        <f>(B72-'FY2011'!B73)/'FY2011'!B73</f>
        <v>-2.4763256728733182E-2</v>
      </c>
      <c r="U72" s="38">
        <f>(C72-'FY2011'!C73)/'FY2011'!C73</f>
        <v>-0.170765519896517</v>
      </c>
      <c r="V72" s="38">
        <f>(D72-'FY2011'!D73)/'FY2011'!D73</f>
        <v>-3.6521118970699269E-2</v>
      </c>
    </row>
    <row r="73" spans="1:22" s="5" customFormat="1" ht="12" x14ac:dyDescent="0.2">
      <c r="A73" s="9">
        <v>41000</v>
      </c>
      <c r="B73" s="43">
        <f>7077934.77+2502690.29+435587</f>
        <v>10016212.059999999</v>
      </c>
      <c r="C73" s="43">
        <f>26029.21+427.99+94071.6+4249.35+3862.36+15479.28+28148.8+167.97+1736.58+771.14-6558.63+5187.99+353696.08+424.25+3059.67+44551.09+63.75+37465.41+28572.19+26700.83+1955.06+417.83+38316.45+2.98+2568.29+18.5+1170.66+10095.38</f>
        <v>722652.05999999994</v>
      </c>
      <c r="D73" s="41">
        <f t="shared" si="4"/>
        <v>10738864.119999999</v>
      </c>
      <c r="T73" s="38">
        <f>(B73-'FY2011'!B74)/'FY2011'!B74</f>
        <v>-9.2678446922314806E-2</v>
      </c>
      <c r="U73" s="38">
        <f>(C73-'FY2011'!C74)/'FY2011'!C74</f>
        <v>-0.22040222017250036</v>
      </c>
      <c r="V73" s="38">
        <f>(D73-'FY2011'!D74)/'FY2011'!D74</f>
        <v>-0.10257243649944843</v>
      </c>
    </row>
    <row r="74" spans="1:22" s="5" customFormat="1" ht="12" x14ac:dyDescent="0.2">
      <c r="A74" s="9">
        <v>41030</v>
      </c>
      <c r="B74" s="43">
        <f>8216359+497305+2701480</f>
        <v>11415144</v>
      </c>
      <c r="C74" s="43">
        <f>24133.24+456.81+98208.2+4138.58+6.53+3865.4+16011.54+32096.88+83.58+48.81+1423.66+835.81+26598.62+5651.24+363438.21+435+3300.4+9581.2+71.49+38747.09+29557.67+27943.14+1630.58+126.42+36523.13+5.48+1605.54+6.6+5800.19+54042.22</f>
        <v>786373.25999999989</v>
      </c>
      <c r="D74" s="41">
        <f t="shared" si="4"/>
        <v>12201517.26</v>
      </c>
      <c r="T74" s="38">
        <f>(B74-'FY2011'!B75)/'FY2011'!B75</f>
        <v>1.5220556662911184E-2</v>
      </c>
      <c r="U74" s="38">
        <f>(C74-'FY2011'!C75)/'FY2011'!C75</f>
        <v>-0.11048176335114554</v>
      </c>
      <c r="V74" s="38">
        <f>(D74-'FY2011'!D75)/'FY2011'!D75</f>
        <v>6.0577975944686047E-3</v>
      </c>
    </row>
    <row r="75" spans="1:22" s="5" customFormat="1" ht="12" x14ac:dyDescent="0.2">
      <c r="A75" s="9">
        <v>41061</v>
      </c>
      <c r="B75" s="43">
        <f>8418810+524097+2869824</f>
        <v>11812731</v>
      </c>
      <c r="C75" s="43">
        <f>23490.56+477.88+93357.2+4124.33+11.91+3696+15146.59+30310.67+105.03+6.22+1318.26+837.61+12726.37+5674.06+384008.77+401.75+3180.55+6889.4+68.59+36545.88+29610.72+27235.44+1459.09+2.96+35360.13+7.83+1590.93+0.28+6523.86+58208.41</f>
        <v>782377.27999999991</v>
      </c>
      <c r="D75" s="41">
        <f t="shared" si="4"/>
        <v>12595108.279999999</v>
      </c>
      <c r="T75" s="38">
        <f>(B75-'FY2011'!B76)/'FY2011'!B76</f>
        <v>-1.7935207687365569E-2</v>
      </c>
      <c r="U75" s="38">
        <f>(C75-'FY2011'!C76)/'FY2011'!C76</f>
        <v>-0.11270848383742053</v>
      </c>
      <c r="V75" s="38">
        <f>(D75-'FY2011'!D76)/'FY2011'!D76</f>
        <v>-2.4408154684857162E-2</v>
      </c>
    </row>
    <row r="76" spans="1:22" s="5" customFormat="1" ht="12" x14ac:dyDescent="0.2">
      <c r="A76" s="9">
        <v>41091</v>
      </c>
      <c r="B76" s="43">
        <f>8126286+2736725+486755</f>
        <v>11349766</v>
      </c>
      <c r="C76" s="43">
        <f>21506.53+433.91+85644.6+3689.61+10.47+3493.05+14457.48+28386.29+115.43+14.86+1238.81+804.95+11997.39+5536.91+365221.14+363.5+3078.81+6501.01+68.34+35173.06+29057.83+25360.93+1206.71+2.07+32319.8+45.79+1932.18+0.55+6239.53+56264.67</f>
        <v>740166.21000000031</v>
      </c>
      <c r="D76" s="41">
        <f t="shared" si="4"/>
        <v>12089932.210000001</v>
      </c>
      <c r="T76" s="38">
        <f>(B76-'FY2011'!B77)/'FY2011'!B77</f>
        <v>-6.7258910025516219E-2</v>
      </c>
      <c r="U76" s="38">
        <f>(C76-'FY2011'!C77)/'FY2011'!C77</f>
        <v>-0.17501180359881549</v>
      </c>
      <c r="V76" s="38">
        <f>(D76-'FY2011'!D77)/'FY2011'!D77</f>
        <v>-7.4658178517478191E-2</v>
      </c>
    </row>
    <row r="77" spans="1:22" s="5" customFormat="1" ht="12" x14ac:dyDescent="0.2">
      <c r="A77" s="9">
        <v>41122</v>
      </c>
      <c r="B77" s="43">
        <f>8525771.43+506727.19+3057107.06</f>
        <v>12089605.68</v>
      </c>
      <c r="C77" s="43">
        <f>24291.94+480.54+91812.4+4063.53+13.97+3660.25+15482.66+30883.89+119.72+12.29+1345.99+866.5+13173.92+3907.3+415695.02+3334.42+7006.85+78.73+39218.63+30753.62+3624.09+23839.56+1269.45+34889.38+60.81+2094.81+0.55+6705.37+59509.55</f>
        <v>818195.74000000022</v>
      </c>
      <c r="D77" s="41">
        <f t="shared" si="4"/>
        <v>12907801.42</v>
      </c>
      <c r="T77" s="38">
        <f>(B77-'FY2011'!B78)/'FY2011'!B78</f>
        <v>6.5033158497167148E-2</v>
      </c>
      <c r="U77" s="38">
        <f>(C77-'FY2011'!C78)/'FY2011'!C78</f>
        <v>-8.9499544858683375E-2</v>
      </c>
      <c r="V77" s="38">
        <f>(D77-'FY2011'!D78)/'FY2011'!D78</f>
        <v>5.3697128925027079E-2</v>
      </c>
    </row>
    <row r="78" spans="1:22" s="5" customFormat="1" ht="12" x14ac:dyDescent="0.2">
      <c r="A78" s="9">
        <v>41153</v>
      </c>
      <c r="B78" s="43">
        <f>7746586+2778401+398038.05</f>
        <v>10923025.050000001</v>
      </c>
      <c r="C78" s="43">
        <f>23271.89+440.29+85643+3587.39+10.81+3505.98+14149.8+29386.09+103.86+31.65+1281.32+757.14+13508.83+81.64+407904.17+291+3106.03+6740.1+67.8+36935.56+29740.53+9331.9+16612.65+1189.72+34774.28+51.4+1677.9+15.95+7029.32+57089.35</f>
        <v>788317.35000000009</v>
      </c>
      <c r="D78" s="41">
        <f t="shared" si="4"/>
        <v>11711342.4</v>
      </c>
      <c r="T78" s="38">
        <f>(B78-'FY2011'!B79)/'FY2011'!B79</f>
        <v>-2.5729022876809459E-2</v>
      </c>
      <c r="U78" s="38">
        <f>(C78-'FY2011'!C79)/'FY2011'!C79</f>
        <v>-0.15406581916293299</v>
      </c>
      <c r="V78" s="38">
        <f>(D78-'FY2011'!D79)/'FY2011'!D79</f>
        <v>-3.5577663426777782E-2</v>
      </c>
    </row>
    <row r="79" spans="1:22" s="6" customFormat="1" ht="12" x14ac:dyDescent="0.2">
      <c r="A79" s="108" t="s">
        <v>76</v>
      </c>
      <c r="B79" s="42">
        <f>SUM(B67:B78)</f>
        <v>126502650.08999999</v>
      </c>
      <c r="C79" s="42">
        <f>SUM(C67:C78)</f>
        <v>9024679.8200000003</v>
      </c>
      <c r="D79" s="42">
        <f>SUM(D67:D78)</f>
        <v>135527329.91</v>
      </c>
      <c r="T79" s="39">
        <f>AVERAGE(T67:T78)</f>
        <v>-1.6821979981578482E-2</v>
      </c>
      <c r="U79" s="39">
        <f>AVERAGE(U67:U78)</f>
        <v>-0.14477540597353811</v>
      </c>
      <c r="V79" s="39">
        <f>AVERAGE(V67:V78)</f>
        <v>-2.6643162088129627E-2</v>
      </c>
    </row>
    <row r="80" spans="1:22" s="6" customFormat="1" ht="12" x14ac:dyDescent="0.2">
      <c r="A80" s="80" t="s">
        <v>74</v>
      </c>
      <c r="B80" s="76"/>
      <c r="C80" s="76"/>
      <c r="D80" s="76"/>
      <c r="T80" s="51"/>
      <c r="U80" s="51"/>
      <c r="V80" s="51"/>
    </row>
    <row r="81" spans="1:22" s="6" customFormat="1" ht="12" x14ac:dyDescent="0.2">
      <c r="A81" s="17"/>
      <c r="B81" s="17"/>
      <c r="C81" s="17"/>
      <c r="D81" s="17"/>
      <c r="T81" s="18"/>
      <c r="U81" s="18"/>
      <c r="V81" s="18"/>
    </row>
    <row r="82" spans="1:22" s="5" customFormat="1" x14ac:dyDescent="0.2">
      <c r="A82" s="19"/>
      <c r="B82" s="208" t="s">
        <v>20</v>
      </c>
      <c r="C82" s="208"/>
      <c r="D82" s="208"/>
      <c r="E82" s="19"/>
      <c r="T82" s="209" t="s">
        <v>20</v>
      </c>
      <c r="U82" s="209"/>
      <c r="V82" s="209"/>
    </row>
    <row r="83" spans="1:22" s="5" customFormat="1" ht="36" x14ac:dyDescent="0.2">
      <c r="A83" s="106" t="s">
        <v>1</v>
      </c>
      <c r="B83" s="99" t="s">
        <v>2</v>
      </c>
      <c r="C83" s="100" t="s">
        <v>3</v>
      </c>
      <c r="D83" s="94"/>
      <c r="E83" s="19"/>
      <c r="T83" s="8" t="s">
        <v>9</v>
      </c>
      <c r="U83" s="8" t="s">
        <v>10</v>
      </c>
      <c r="V83" s="54"/>
    </row>
    <row r="84" spans="1:22" s="5" customFormat="1" ht="12" x14ac:dyDescent="0.2">
      <c r="A84" s="9">
        <v>40817</v>
      </c>
      <c r="B84" s="43">
        <f>102993.42+20.74+5494.04+153.72+15.9+1332.07+19418.42+87.36+44.86+1251.91+130696.92+42423.76+354694.38</f>
        <v>658627.5</v>
      </c>
      <c r="C84" s="43">
        <f>806363.76+10-C67</f>
        <v>99860.660000000149</v>
      </c>
      <c r="D84" s="82"/>
      <c r="E84" s="19"/>
      <c r="T84" s="38">
        <f>(B84-'FY2011'!B85)/'FY2011'!B85</f>
        <v>1.2365265627113736E-2</v>
      </c>
      <c r="U84" s="26"/>
      <c r="V84" s="26"/>
    </row>
    <row r="85" spans="1:22" s="5" customFormat="1" ht="12" x14ac:dyDescent="0.2">
      <c r="A85" s="9">
        <v>40848</v>
      </c>
      <c r="B85" s="43">
        <f>100306.15+16.71+4356+126.2+13.05+1668.47+16381.78+84.73+43.82+1126.01+130337.75+42382.79+351748.54</f>
        <v>648592</v>
      </c>
      <c r="C85" s="43">
        <f>821131.59-C68</f>
        <v>101172.3600000001</v>
      </c>
      <c r="D85" s="82"/>
      <c r="E85" s="19"/>
      <c r="T85" s="38">
        <f>(B85-'FY2011'!B86)/'FY2011'!B86</f>
        <v>0.10619096980238754</v>
      </c>
      <c r="U85" s="26"/>
      <c r="V85" s="26"/>
    </row>
    <row r="86" spans="1:22" s="5" customFormat="1" ht="12" x14ac:dyDescent="0.2">
      <c r="A86" s="9">
        <v>40878</v>
      </c>
      <c r="B86" s="43">
        <f>101138.79+13.42+3927.94+132.65+13.64+1592.42+16885.55+85.33+44.12+167.55+707.95+1762.1+138865.7+42021.14+375112.23</f>
        <v>682470.53</v>
      </c>
      <c r="C86" s="43">
        <f>854614.1-C69+7.5</f>
        <v>104629.99999999988</v>
      </c>
      <c r="D86" s="82"/>
      <c r="E86" s="19"/>
      <c r="T86" s="38">
        <f>(B86-'FY2011'!B87)/'FY2011'!B87</f>
        <v>3.3785539995254341E-2</v>
      </c>
      <c r="U86" s="26"/>
      <c r="V86" s="26"/>
    </row>
    <row r="87" spans="1:22" s="5" customFormat="1" ht="12" x14ac:dyDescent="0.2">
      <c r="A87" s="9">
        <v>40909</v>
      </c>
      <c r="B87" s="43">
        <f>108029.36+11.97+3001.8+135.49+13.9+1942.94+17254.66+102.5+52.99+375.33+354.89+1563.6+521922.92</f>
        <v>654762.35</v>
      </c>
      <c r="C87" s="101">
        <f>803010.22-C70</f>
        <v>100285.11999999988</v>
      </c>
      <c r="D87" s="82"/>
      <c r="E87" s="19"/>
      <c r="T87" s="38">
        <f>(B87-'FY2011'!B88)/'FY2011'!B88</f>
        <v>0.11825283135080816</v>
      </c>
      <c r="U87" s="26"/>
      <c r="V87" s="26"/>
    </row>
    <row r="88" spans="1:22" s="5" customFormat="1" ht="12" x14ac:dyDescent="0.2">
      <c r="A88" s="9">
        <v>40940</v>
      </c>
      <c r="B88" s="43">
        <f>106986.98+134403.58+40093.06+365073.5+12.8+3298.28+137.78+14.14+1954.73+20304.8+121.17+62.69+403.25+419.97+1801.9</f>
        <v>675088.63000000012</v>
      </c>
      <c r="C88" s="101">
        <f>823539.2-C71</f>
        <v>100876.40999999968</v>
      </c>
      <c r="D88" s="82"/>
      <c r="E88" s="19"/>
      <c r="T88" s="38">
        <f>(B88-'FY2011'!B89)/'FY2011'!B89</f>
        <v>0.11030539471626878</v>
      </c>
      <c r="U88" s="38">
        <f>(C88-'FY2011'!C89)/'FY2011'!C89</f>
        <v>8.1325472649195762E-2</v>
      </c>
      <c r="V88" s="26"/>
    </row>
    <row r="89" spans="1:22" s="5" customFormat="1" ht="12" x14ac:dyDescent="0.2">
      <c r="A89" s="9">
        <v>40969</v>
      </c>
      <c r="B89" s="43">
        <f>148223+589907.39</f>
        <v>738130.39</v>
      </c>
      <c r="C89" s="101">
        <f>894325.4-C72</f>
        <v>109579.30000000005</v>
      </c>
      <c r="D89" s="82"/>
      <c r="E89" s="19"/>
      <c r="T89" s="38">
        <f>(B89-'FY2011'!B90)/'FY2011'!B90</f>
        <v>5.1022469909615606E-2</v>
      </c>
      <c r="U89" s="38">
        <f>(C89-'FY2011'!C90)/'FY2011'!C90</f>
        <v>3.7765412946240133E-2</v>
      </c>
      <c r="V89" s="26"/>
    </row>
    <row r="90" spans="1:22" s="5" customFormat="1" ht="12" x14ac:dyDescent="0.2">
      <c r="A90" s="9">
        <v>41000</v>
      </c>
      <c r="B90" s="43">
        <f>105475.39+12.46+3553.7+136.77+14.7+1588.21+19867.25+114.91+58.82+387.33+434.44+1723.2+624605.27</f>
        <v>757972.45000000007</v>
      </c>
      <c r="C90" s="101">
        <f>825693.15+10-C73</f>
        <v>103051.09000000008</v>
      </c>
      <c r="D90" s="82"/>
      <c r="E90" s="19"/>
      <c r="T90" s="38">
        <f>(B90-'FY2011'!B91)/'FY2011'!B91</f>
        <v>9.2840696098503511E-2</v>
      </c>
      <c r="U90" s="38">
        <f>(C90-'FY2011'!C91)/'FY2011'!C91</f>
        <v>2.1077471563467773E-2</v>
      </c>
      <c r="V90" s="26"/>
    </row>
    <row r="91" spans="1:22" s="5" customFormat="1" ht="12" x14ac:dyDescent="0.2">
      <c r="A91" s="9">
        <v>41030</v>
      </c>
      <c r="B91" s="43">
        <f>112638.52+13.63+4114.18+153.72+16.2+1839.31+24026.77+135.87+412.03+2122.7+701471.2</f>
        <v>846944.13</v>
      </c>
      <c r="C91" s="101">
        <f>894488.62-C74</f>
        <v>108115.3600000001</v>
      </c>
      <c r="D91" s="82"/>
      <c r="E91" s="19"/>
      <c r="T91" s="38">
        <f>(B91-'FY2011'!B92)/'FY2011'!B92</f>
        <v>0.17991777589969157</v>
      </c>
      <c r="U91" s="38">
        <f>(C91-'FY2011'!C92)/'FY2011'!C92</f>
        <v>0.12235607724491571</v>
      </c>
      <c r="V91" s="26"/>
    </row>
    <row r="92" spans="1:22" s="5" customFormat="1" ht="12" x14ac:dyDescent="0.2">
      <c r="A92" s="9">
        <v>41061</v>
      </c>
      <c r="B92" s="43">
        <f>116940.79+731201.33+14.55+4250.4+154.77+16.18+1732.29+23085.84+127.66+395.16+484.45+2249.1</f>
        <v>880652.52000000014</v>
      </c>
      <c r="C92" s="101">
        <f>888188.3-C75</f>
        <v>105811.02000000014</v>
      </c>
      <c r="D92" s="82"/>
      <c r="E92" s="19"/>
      <c r="T92" s="38">
        <f>(B92-'FY2011'!B93)/'FY2011'!B93</f>
        <v>0.17187263033800507</v>
      </c>
      <c r="U92" s="38">
        <f>(C92-'FY2011'!C93)/'FY2011'!C93</f>
        <v>0.10085153129874687</v>
      </c>
      <c r="V92" s="26"/>
    </row>
    <row r="93" spans="1:22" s="5" customFormat="1" ht="12" x14ac:dyDescent="0.2">
      <c r="A93" s="9">
        <v>41091</v>
      </c>
      <c r="B93" s="43">
        <f>120040.31+17.51+4419.76+181.6+18.72+1627.4+21983.1+114.01+390.85+574.67+2350.4+701643.78</f>
        <v>853362.1100000001</v>
      </c>
      <c r="C93" s="101">
        <f>840049.87+10-C76</f>
        <v>99893.659999999683</v>
      </c>
      <c r="D93" s="82"/>
      <c r="E93" s="19"/>
      <c r="T93" s="38">
        <f>(B93-'FY2011'!B94)/'FY2011'!B94</f>
        <v>0.10818913854740229</v>
      </c>
      <c r="U93" s="38">
        <f>(C93-'FY2011'!C94)/'FY2011'!C94</f>
        <v>2.4358409967687129E-2</v>
      </c>
      <c r="V93" s="26"/>
    </row>
    <row r="94" spans="1:22" s="5" customFormat="1" ht="12" x14ac:dyDescent="0.2">
      <c r="A94" s="9">
        <v>41122</v>
      </c>
      <c r="B94" s="43">
        <f>111372.51+23.01+5812.31+239.12+26.47+1880.44+27610.21+152.7+488.93+758.36+4130.8+738086.42</f>
        <v>890581.28</v>
      </c>
      <c r="C94" s="101">
        <f>928280.53+10-C77</f>
        <v>110094.7899999998</v>
      </c>
      <c r="D94" s="82"/>
      <c r="E94" s="19"/>
      <c r="T94" s="38">
        <f>(B94-'FY2011'!B95)/'FY2011'!B95</f>
        <v>0.22114771183494841</v>
      </c>
      <c r="U94" s="38">
        <f>(C94-'FY2011'!C95)/'FY2011'!C95</f>
        <v>0.12449195020746505</v>
      </c>
      <c r="V94" s="26"/>
    </row>
    <row r="95" spans="1:22" s="5" customFormat="1" ht="12" x14ac:dyDescent="0.2">
      <c r="A95" s="9">
        <v>41153</v>
      </c>
      <c r="B95" s="43">
        <f>31279.61+101925.02+671693.22+21.11+7116.13+191.57+22.84+1778.96+29280.77+146.39+373.79+682.58+3807.5</f>
        <v>848319.48999999987</v>
      </c>
      <c r="C95" s="101">
        <f>893173.15-C78</f>
        <v>104855.79999999993</v>
      </c>
      <c r="D95" s="82"/>
      <c r="E95" s="19"/>
      <c r="T95" s="38">
        <f>(B95-'FY2011'!B96)/'FY2011'!B96</f>
        <v>0.21157115416903696</v>
      </c>
      <c r="U95" s="38">
        <f>(C95-'FY2011'!C96)/'FY2011'!C96</f>
        <v>-3.5659584314556923E-2</v>
      </c>
      <c r="V95" s="26"/>
    </row>
    <row r="96" spans="1:22" s="5" customFormat="1" ht="12" x14ac:dyDescent="0.2">
      <c r="A96" s="109" t="s">
        <v>76</v>
      </c>
      <c r="B96" s="45">
        <f>SUM(B84:B95)</f>
        <v>9135503.3800000008</v>
      </c>
      <c r="C96" s="45">
        <f>SUM(C84:C95)</f>
        <v>1248225.5699999994</v>
      </c>
      <c r="D96" s="46"/>
      <c r="E96" s="19"/>
      <c r="T96" s="39">
        <f>AVERAGE(T84:T95)</f>
        <v>0.11812179819075301</v>
      </c>
      <c r="U96" s="39">
        <f>AVERAGE(U84:U95)</f>
        <v>5.9570842695395192E-2</v>
      </c>
      <c r="V96" s="23"/>
    </row>
    <row r="97" spans="1:22" x14ac:dyDescent="0.2">
      <c r="A97" s="81"/>
      <c r="B97" s="21"/>
      <c r="C97" s="21"/>
      <c r="D97" s="21"/>
      <c r="E97" s="21"/>
    </row>
    <row r="98" spans="1:22" s="5" customFormat="1" ht="12" x14ac:dyDescent="0.2">
      <c r="A98" s="19"/>
      <c r="B98" s="19"/>
      <c r="C98" s="19"/>
      <c r="D98" s="19"/>
      <c r="E98" s="19"/>
    </row>
    <row r="99" spans="1:22" s="5" customFormat="1" x14ac:dyDescent="0.2">
      <c r="A99" s="19"/>
      <c r="B99" s="208" t="s">
        <v>46</v>
      </c>
      <c r="C99" s="208"/>
      <c r="D99" s="210"/>
      <c r="E99" s="19"/>
      <c r="T99" s="209" t="s">
        <v>47</v>
      </c>
      <c r="U99" s="209"/>
      <c r="V99" s="209"/>
    </row>
    <row r="100" spans="1:22" s="5" customFormat="1" ht="36" x14ac:dyDescent="0.2">
      <c r="A100" s="106" t="s">
        <v>1</v>
      </c>
      <c r="B100" s="99" t="s">
        <v>48</v>
      </c>
      <c r="C100" s="99" t="s">
        <v>42</v>
      </c>
      <c r="D100" s="99" t="s">
        <v>7</v>
      </c>
      <c r="E100" s="19"/>
      <c r="T100" s="8" t="s">
        <v>70</v>
      </c>
      <c r="U100" s="8" t="s">
        <v>70</v>
      </c>
      <c r="V100" s="8" t="s">
        <v>71</v>
      </c>
    </row>
    <row r="101" spans="1:22" s="5" customFormat="1" ht="12" x14ac:dyDescent="0.2">
      <c r="A101" s="9">
        <v>40817</v>
      </c>
      <c r="B101" s="73">
        <v>2335314</v>
      </c>
      <c r="C101" s="43">
        <v>164346503</v>
      </c>
      <c r="D101" s="43">
        <v>695078</v>
      </c>
      <c r="E101" s="19"/>
      <c r="T101" s="102">
        <f>(B101-'FY2011'!B102)/'FY2011'!B102</f>
        <v>0.12590777668657352</v>
      </c>
      <c r="U101" s="102">
        <f>(C101-'FY2011'!C102)/'FY2011'!C102</f>
        <v>0.14760290329392503</v>
      </c>
      <c r="V101" s="102">
        <f>(D101-'FY2011'!D102)/'FY2011'!D102</f>
        <v>-0.34181273785591387</v>
      </c>
    </row>
    <row r="102" spans="1:22" s="5" customFormat="1" ht="12" x14ac:dyDescent="0.2">
      <c r="A102" s="9">
        <v>40848</v>
      </c>
      <c r="B102" s="73">
        <f>622430+1604155</f>
        <v>2226585</v>
      </c>
      <c r="C102" s="43">
        <f>40688167.03+117927044.02</f>
        <v>158615211.05000001</v>
      </c>
      <c r="D102" s="43">
        <f>462716.38+207134.27</f>
        <v>669850.65</v>
      </c>
      <c r="E102" s="19"/>
      <c r="T102" s="102">
        <f>(B102-'FY2011'!B103)/'FY2011'!B103</f>
        <v>0.1273985101591108</v>
      </c>
      <c r="U102" s="102">
        <f>(C102-'FY2011'!C103)/'FY2011'!C103</f>
        <v>0.17343033122983453</v>
      </c>
      <c r="V102" s="102">
        <f>(D102-'FY2011'!D103)/'FY2011'!D103</f>
        <v>-0.31364034112508155</v>
      </c>
    </row>
    <row r="103" spans="1:22" s="5" customFormat="1" ht="12" x14ac:dyDescent="0.2">
      <c r="A103" s="9">
        <v>40878</v>
      </c>
      <c r="B103" s="73">
        <v>2361670</v>
      </c>
      <c r="C103" s="43">
        <v>170704127</v>
      </c>
      <c r="D103" s="43">
        <v>713838</v>
      </c>
      <c r="E103" s="19"/>
      <c r="T103" s="102">
        <f>(B103-'FY2011'!B104)/'FY2011'!B104</f>
        <v>0.11095639804139526</v>
      </c>
      <c r="U103" s="102">
        <f>(C103-'FY2011'!C104)/'FY2011'!C104</f>
        <v>0.15785759226343551</v>
      </c>
      <c r="V103" s="102">
        <f>(D103-'FY2011'!D104)/'FY2011'!D104</f>
        <v>-0.32882522459840252</v>
      </c>
    </row>
    <row r="104" spans="1:22" s="5" customFormat="1" ht="12" x14ac:dyDescent="0.2">
      <c r="A104" s="9">
        <v>40909</v>
      </c>
      <c r="B104" s="73">
        <v>2286304</v>
      </c>
      <c r="C104" s="43">
        <v>161681564</v>
      </c>
      <c r="D104" s="43">
        <v>693499</v>
      </c>
      <c r="E104" s="19"/>
      <c r="T104" s="102">
        <f>(B104-'FY2011'!B105)/'FY2011'!B105</f>
        <v>0.11057387078738738</v>
      </c>
      <c r="U104" s="102">
        <f>(C104-'FY2011'!C105)/'FY2011'!C105</f>
        <v>0.13459378784471918</v>
      </c>
      <c r="V104" s="102">
        <f>(D104-'FY2011'!D105)/'FY2011'!D105</f>
        <v>-0.32440494456410662</v>
      </c>
    </row>
    <row r="105" spans="1:22" s="5" customFormat="1" ht="12" x14ac:dyDescent="0.2">
      <c r="A105" s="9">
        <v>40940</v>
      </c>
      <c r="B105" s="73">
        <f>1758631+664225</f>
        <v>2422856</v>
      </c>
      <c r="C105" s="43">
        <f>133136099.32+44630710</f>
        <v>177766809.31999999</v>
      </c>
      <c r="D105" s="43">
        <f>513428.259999998+239635</f>
        <v>753063.25999999791</v>
      </c>
      <c r="E105" s="19"/>
      <c r="T105" s="102">
        <f>(B105-'FY2011'!B106)/'FY2011'!B106</f>
        <v>0.16244657009902252</v>
      </c>
      <c r="U105" s="102">
        <f>(C105-'FY2011'!C106)/'FY2011'!C106</f>
        <v>0.19206124674784969</v>
      </c>
      <c r="V105" s="102">
        <f>(D105-'FY2011'!D106)/'FY2011'!D106</f>
        <v>-0.31129926700230198</v>
      </c>
    </row>
    <row r="106" spans="1:22" s="5" customFormat="1" ht="12" x14ac:dyDescent="0.2">
      <c r="A106" s="9">
        <v>40969</v>
      </c>
      <c r="B106" s="73">
        <v>2660111</v>
      </c>
      <c r="C106" s="43">
        <v>189435942.91999999</v>
      </c>
      <c r="D106" s="43">
        <v>823340.15</v>
      </c>
      <c r="E106" s="19"/>
      <c r="T106" s="102">
        <f>(B106-'FY2011'!B107)/'FY2011'!B107</f>
        <v>0.10856942584750973</v>
      </c>
      <c r="U106" s="102">
        <f>(C106-'FY2011'!C107)/'FY2011'!C107</f>
        <v>0.14210052677379947</v>
      </c>
      <c r="V106" s="102">
        <f>(D106-'FY2011'!D107)/'FY2011'!D107</f>
        <v>-0.35872140751956533</v>
      </c>
    </row>
    <row r="107" spans="1:22" s="5" customFormat="1" ht="12" x14ac:dyDescent="0.2">
      <c r="A107" s="9">
        <v>41000</v>
      </c>
      <c r="B107" s="73">
        <v>2407902</v>
      </c>
      <c r="C107" s="43">
        <v>166008059</v>
      </c>
      <c r="D107" s="43">
        <v>740126</v>
      </c>
      <c r="E107" s="19"/>
      <c r="T107" s="102">
        <f>(B107-'FY2011'!B108)/'FY2011'!B108</f>
        <v>3.7220858636722733E-2</v>
      </c>
      <c r="U107" s="102">
        <f>(C107-'FY2011'!C108)/'FY2011'!C108</f>
        <v>4.2522739598418763E-2</v>
      </c>
      <c r="V107" s="102">
        <f>(D107-'FY2011'!D108)/'FY2011'!D108</f>
        <v>-0.38189167407852814</v>
      </c>
    </row>
    <row r="108" spans="1:22" s="5" customFormat="1" ht="12" x14ac:dyDescent="0.2">
      <c r="A108" s="9">
        <v>41030</v>
      </c>
      <c r="B108" s="73">
        <v>2559494</v>
      </c>
      <c r="C108" s="43">
        <v>171894563</v>
      </c>
      <c r="D108" s="43">
        <v>787384</v>
      </c>
      <c r="E108" s="19"/>
      <c r="T108" s="102">
        <f>(B108-'FY2011'!B109)/'FY2011'!B109</f>
        <v>0.10283990019049294</v>
      </c>
      <c r="U108" s="102">
        <f>(C108-'FY2011'!C109)/'FY2011'!C109</f>
        <v>7.1772863409020893E-2</v>
      </c>
      <c r="V108" s="102">
        <f>(D108-'FY2011'!D109)/'FY2011'!D109</f>
        <v>-0.34954841683608434</v>
      </c>
    </row>
    <row r="109" spans="1:22" s="5" customFormat="1" ht="12" x14ac:dyDescent="0.2">
      <c r="A109" s="9">
        <v>41061</v>
      </c>
      <c r="B109" s="73">
        <v>2566260</v>
      </c>
      <c r="C109" s="43">
        <v>177683854</v>
      </c>
      <c r="D109" s="43">
        <v>807399</v>
      </c>
      <c r="E109" s="19"/>
      <c r="T109" s="102">
        <f>(B109-'FY2011'!B110)/'FY2011'!B110</f>
        <v>7.5092144411385939E-2</v>
      </c>
      <c r="U109" s="102">
        <f>(C109-'FY2011'!C110)/'FY2011'!C110</f>
        <v>0.10009212019149658</v>
      </c>
      <c r="V109" s="102">
        <f>(D109-'FY2011'!D110)/'FY2011'!D110</f>
        <v>-0.3588280372124788</v>
      </c>
    </row>
    <row r="110" spans="1:22" s="5" customFormat="1" ht="12" x14ac:dyDescent="0.2">
      <c r="A110" s="9">
        <v>41091</v>
      </c>
      <c r="B110" s="73">
        <v>2417787</v>
      </c>
      <c r="C110" s="43">
        <v>165565483</v>
      </c>
      <c r="D110" s="43">
        <v>768086</v>
      </c>
      <c r="E110" s="19"/>
      <c r="T110" s="102">
        <f>(B110-'FY2011'!B111)/'FY2011'!B111</f>
        <v>-3.0903980096910123E-2</v>
      </c>
      <c r="U110" s="102">
        <f>(C110-'FY2011'!C111)/'FY2011'!C111</f>
        <v>-3.0477791670197971E-2</v>
      </c>
      <c r="V110" s="102">
        <f>(D110-'FY2011'!D111)/'FY2011'!D111</f>
        <v>-0.41331652917812406</v>
      </c>
    </row>
    <row r="111" spans="1:22" s="5" customFormat="1" ht="12" x14ac:dyDescent="0.2">
      <c r="A111" s="9">
        <v>41122</v>
      </c>
      <c r="B111" s="73">
        <v>2589648</v>
      </c>
      <c r="C111" s="43">
        <v>173611049.87</v>
      </c>
      <c r="D111" s="43">
        <v>801845.52</v>
      </c>
      <c r="E111" s="19"/>
      <c r="T111" s="102">
        <f>(B111-'FY2011'!B112)/'FY2011'!B112</f>
        <v>6.8849010953270506E-2</v>
      </c>
      <c r="U111" s="102">
        <f>(C111-'FY2011'!C112)/'FY2011'!C112</f>
        <v>8.1541222930219801E-2</v>
      </c>
      <c r="V111" s="102">
        <f>(D111-'FY2011'!D112)/'FY2011'!D112</f>
        <v>-0.35991282919551404</v>
      </c>
    </row>
    <row r="112" spans="1:22" s="5" customFormat="1" ht="12" x14ac:dyDescent="0.2">
      <c r="A112" s="9">
        <v>41153</v>
      </c>
      <c r="B112" s="73">
        <v>2359446</v>
      </c>
      <c r="C112" s="43">
        <v>160933226</v>
      </c>
      <c r="D112" s="43">
        <v>730956</v>
      </c>
      <c r="E112" s="19"/>
      <c r="T112" s="102">
        <f>(B112-'FY2011'!B113)/'FY2011'!B113</f>
        <v>1.6237779670988987E-2</v>
      </c>
      <c r="U112" s="102">
        <f>(C112-'FY2011'!C113)/'FY2011'!C113</f>
        <v>3.6395759696834201E-2</v>
      </c>
      <c r="V112" s="102">
        <f>(D112-'FY2011'!D113)/'FY2011'!D113</f>
        <v>-0.37514126418839555</v>
      </c>
    </row>
    <row r="113" spans="1:22" s="5" customFormat="1" ht="12" x14ac:dyDescent="0.2">
      <c r="A113" s="109" t="s">
        <v>76</v>
      </c>
      <c r="B113" s="74">
        <f>SUM(B101:B112)</f>
        <v>29193377</v>
      </c>
      <c r="C113" s="45">
        <f>SUM(C101:C112)</f>
        <v>2038246392.1599998</v>
      </c>
      <c r="D113" s="45">
        <f>SUM(D101:D112)</f>
        <v>8984465.5799999982</v>
      </c>
      <c r="E113" s="19"/>
      <c r="T113" s="103">
        <f>AVERAGE(T101:T112)</f>
        <v>8.4599022115579181E-2</v>
      </c>
      <c r="U113" s="103">
        <f>AVERAGE(U101:U112)</f>
        <v>0.10412444185911297</v>
      </c>
      <c r="V113" s="103">
        <f>AVERAGE(V101:V112)</f>
        <v>-0.35144522277954143</v>
      </c>
    </row>
    <row r="114" spans="1:22" x14ac:dyDescent="0.2">
      <c r="B114" s="21"/>
      <c r="C114" s="21"/>
      <c r="D114" s="21"/>
      <c r="E114" s="21"/>
    </row>
    <row r="115" spans="1:22" x14ac:dyDescent="0.2">
      <c r="A115" s="59"/>
      <c r="B115" s="21"/>
      <c r="C115" s="21"/>
      <c r="D115" s="21"/>
      <c r="E115" s="21"/>
    </row>
    <row r="116" spans="1:22" x14ac:dyDescent="0.2">
      <c r="A116" s="59"/>
      <c r="B116" s="21"/>
      <c r="C116" s="21"/>
      <c r="D116" s="21"/>
      <c r="E116" s="21"/>
    </row>
    <row r="117" spans="1:22" s="5" customFormat="1" x14ac:dyDescent="0.2">
      <c r="A117" s="19"/>
      <c r="B117" s="208" t="s">
        <v>54</v>
      </c>
      <c r="C117" s="208"/>
      <c r="D117" s="210"/>
      <c r="E117" s="19"/>
      <c r="T117" s="209" t="s">
        <v>57</v>
      </c>
      <c r="U117" s="209"/>
      <c r="V117" s="209"/>
    </row>
    <row r="118" spans="1:22" s="5" customFormat="1" ht="36" x14ac:dyDescent="0.2">
      <c r="A118" s="106" t="s">
        <v>1</v>
      </c>
      <c r="B118" s="99" t="s">
        <v>2</v>
      </c>
      <c r="C118" s="99" t="s">
        <v>3</v>
      </c>
      <c r="D118" s="94"/>
      <c r="E118" s="19"/>
      <c r="T118" s="8" t="s">
        <v>9</v>
      </c>
      <c r="U118" s="8" t="s">
        <v>10</v>
      </c>
      <c r="V118" s="54"/>
    </row>
    <row r="119" spans="1:22" s="5" customFormat="1" ht="12" x14ac:dyDescent="0.2">
      <c r="A119" s="9">
        <v>40817</v>
      </c>
      <c r="B119" s="31">
        <f t="shared" ref="B119:B130" si="5">(B84+B67)/B33</f>
        <v>1.7303298030823877</v>
      </c>
      <c r="C119" s="31">
        <f t="shared" ref="C119:C131" si="6">C67/C33</f>
        <v>0.24899833334566843</v>
      </c>
      <c r="D119" s="92"/>
      <c r="E119" s="19"/>
      <c r="T119" s="38">
        <f>(B119-'FY2011'!B120)/'FY2011'!B120</f>
        <v>-0.17259536571857931</v>
      </c>
      <c r="U119" s="38">
        <f>(C119-'FY2011'!C120)/'FY2011'!C120</f>
        <v>-0.21482362386572865</v>
      </c>
      <c r="V119" s="26"/>
    </row>
    <row r="120" spans="1:22" s="5" customFormat="1" ht="12" x14ac:dyDescent="0.2">
      <c r="A120" s="9">
        <v>40848</v>
      </c>
      <c r="B120" s="31">
        <f t="shared" si="5"/>
        <v>1.8073209239807644</v>
      </c>
      <c r="C120" s="31">
        <f t="shared" si="6"/>
        <v>0.2600791733059849</v>
      </c>
      <c r="D120" s="92"/>
      <c r="E120" s="19"/>
      <c r="T120" s="38">
        <f>(B120-'FY2011'!B121)/'FY2011'!B121</f>
        <v>-4.0375459995644451E-2</v>
      </c>
      <c r="U120" s="38">
        <f>(C120-'FY2011'!C121)/'FY2011'!C121</f>
        <v>-0.1713438536835255</v>
      </c>
      <c r="V120" s="26"/>
    </row>
    <row r="121" spans="1:22" s="5" customFormat="1" ht="12" x14ac:dyDescent="0.2">
      <c r="A121" s="9">
        <v>40878</v>
      </c>
      <c r="B121" s="31">
        <f t="shared" si="5"/>
        <v>1.8300065768800617</v>
      </c>
      <c r="C121" s="31">
        <f t="shared" si="6"/>
        <v>0.26260164110356954</v>
      </c>
      <c r="D121" s="92"/>
      <c r="E121" s="19"/>
      <c r="T121" s="38">
        <f>(B121-'FY2011'!B122)/'FY2011'!B122</f>
        <v>-0.10397123466935226</v>
      </c>
      <c r="U121" s="38">
        <f>(C121-'FY2011'!C122)/'FY2011'!C122</f>
        <v>-0.18461276975801322</v>
      </c>
      <c r="V121" s="26"/>
    </row>
    <row r="122" spans="1:22" s="5" customFormat="1" ht="12" x14ac:dyDescent="0.2">
      <c r="A122" s="9">
        <v>40909</v>
      </c>
      <c r="B122" s="31">
        <f t="shared" si="5"/>
        <v>1.6932617377718975</v>
      </c>
      <c r="C122" s="31">
        <f t="shared" si="6"/>
        <v>0.25332939431671281</v>
      </c>
      <c r="D122" s="92"/>
      <c r="E122" s="19"/>
      <c r="T122" s="38">
        <f>(B122-'FY2011'!B123)/'FY2011'!B123</f>
        <v>-6.2798459970680828E-2</v>
      </c>
      <c r="U122" s="38">
        <f>(C122-'FY2011'!C123)/'FY2011'!C123</f>
        <v>-0.1799617718891395</v>
      </c>
      <c r="V122" s="26"/>
    </row>
    <row r="123" spans="1:22" s="5" customFormat="1" ht="12" x14ac:dyDescent="0.2">
      <c r="A123" s="9">
        <v>40940</v>
      </c>
      <c r="B123" s="31">
        <f t="shared" si="5"/>
        <v>1.654120176908183</v>
      </c>
      <c r="C123" s="31">
        <f t="shared" si="6"/>
        <v>0.25741409648948466</v>
      </c>
      <c r="D123" s="92"/>
      <c r="E123" s="19"/>
      <c r="T123" s="38">
        <f>(B123-'FY2011'!B124)/'FY2011'!B124</f>
        <v>-6.6933628614257737E-2</v>
      </c>
      <c r="U123" s="38">
        <f>(C123-'FY2011'!C124)/'FY2011'!C124</f>
        <v>-0.23242331993080034</v>
      </c>
      <c r="V123" s="26"/>
    </row>
    <row r="124" spans="1:22" s="5" customFormat="1" ht="12" x14ac:dyDescent="0.2">
      <c r="A124" s="9">
        <v>40969</v>
      </c>
      <c r="B124" s="31">
        <f t="shared" si="5"/>
        <v>1.6592068196265866</v>
      </c>
      <c r="C124" s="31">
        <f t="shared" si="6"/>
        <v>0.26189062778974559</v>
      </c>
      <c r="D124" s="92"/>
      <c r="E124" s="19"/>
      <c r="T124" s="38">
        <f>(B124-'FY2011'!B125)/'FY2011'!B125</f>
        <v>-7.9017662542631623E-2</v>
      </c>
      <c r="U124" s="38">
        <f>(C124-'FY2011'!C125)/'FY2011'!C125</f>
        <v>-0.2380775090348819</v>
      </c>
      <c r="V124" s="26"/>
    </row>
    <row r="125" spans="1:22" s="5" customFormat="1" ht="12" x14ac:dyDescent="0.2">
      <c r="A125" s="9">
        <v>41000</v>
      </c>
      <c r="B125" s="31">
        <f t="shared" si="5"/>
        <v>1.6764331686596075</v>
      </c>
      <c r="C125" s="31">
        <f t="shared" si="6"/>
        <v>0.24997727674462122</v>
      </c>
      <c r="D125" s="92"/>
      <c r="E125" s="19"/>
      <c r="T125" s="38">
        <f>(B125-'FY2011'!B126)/'FY2011'!B126</f>
        <v>-0.12560133853393871</v>
      </c>
      <c r="U125" s="38">
        <f>(C125-'FY2011'!C126)/'FY2011'!C126</f>
        <v>-0.26243873536946044</v>
      </c>
      <c r="V125" s="26"/>
    </row>
    <row r="126" spans="1:22" s="5" customFormat="1" ht="12" x14ac:dyDescent="0.2">
      <c r="A126" s="9">
        <v>41030</v>
      </c>
      <c r="B126" s="31">
        <f t="shared" si="5"/>
        <v>1.7323417243415151</v>
      </c>
      <c r="C126" s="31">
        <f t="shared" si="6"/>
        <v>0.258171809595099</v>
      </c>
      <c r="D126" s="92"/>
      <c r="E126" s="19"/>
      <c r="T126" s="38">
        <f>(B126-'FY2011'!B127)/'FY2011'!B127</f>
        <v>-8.8954585631788555E-2</v>
      </c>
      <c r="U126" s="38">
        <f>(C126-'FY2011'!C127)/'FY2011'!C127</f>
        <v>-0.19664582068947398</v>
      </c>
      <c r="V126" s="26"/>
    </row>
    <row r="127" spans="1:22" s="5" customFormat="1" ht="12" x14ac:dyDescent="0.2">
      <c r="A127" s="9">
        <v>41061</v>
      </c>
      <c r="B127" s="31">
        <f t="shared" si="5"/>
        <v>1.7837040059828793</v>
      </c>
      <c r="C127" s="31">
        <f t="shared" si="6"/>
        <v>0.25924533691109353</v>
      </c>
      <c r="D127" s="92"/>
      <c r="E127" s="19"/>
      <c r="T127" s="38">
        <f>(B127-'FY2011'!B128)/'FY2011'!B128</f>
        <v>-8.9346440323887263E-2</v>
      </c>
      <c r="U127" s="38">
        <f>(C127-'FY2011'!C128)/'FY2011'!C128</f>
        <v>-0.22459871703293557</v>
      </c>
      <c r="V127" s="26"/>
    </row>
    <row r="128" spans="1:22" s="5" customFormat="1" ht="12" x14ac:dyDescent="0.2">
      <c r="A128" s="9">
        <v>41091</v>
      </c>
      <c r="B128" s="31">
        <f t="shared" si="5"/>
        <v>1.7426475354927007</v>
      </c>
      <c r="C128" s="31">
        <f t="shared" si="6"/>
        <v>0.25261059129003161</v>
      </c>
      <c r="D128" s="92"/>
      <c r="E128" s="19"/>
      <c r="T128" s="38">
        <f>(B128-'FY2011'!B129)/'FY2011'!B129</f>
        <v>-7.7833538789918277E-2</v>
      </c>
      <c r="U128" s="38">
        <f>(C128-'FY2011'!C129)/'FY2011'!C129</f>
        <v>-0.24146010423172773</v>
      </c>
      <c r="V128" s="26"/>
    </row>
    <row r="129" spans="1:22" s="5" customFormat="1" ht="12" x14ac:dyDescent="0.2">
      <c r="A129" s="9">
        <v>41122</v>
      </c>
      <c r="B129" s="31">
        <f t="shared" si="5"/>
        <v>1.8272657571950719</v>
      </c>
      <c r="C129" s="31">
        <f t="shared" si="6"/>
        <v>0.2614118228920887</v>
      </c>
      <c r="D129" s="92"/>
      <c r="E129" s="19"/>
      <c r="T129" s="38">
        <f>(B129-'FY2011'!B130)/'FY2011'!B130</f>
        <v>-6.2130721483375905E-3</v>
      </c>
      <c r="U129" s="38">
        <f>(C129-'FY2011'!C130)/'FY2011'!C130</f>
        <v>-0.21415671052130028</v>
      </c>
      <c r="V129" s="26"/>
    </row>
    <row r="130" spans="1:22" s="5" customFormat="1" ht="12" x14ac:dyDescent="0.2">
      <c r="A130" s="9">
        <v>41153</v>
      </c>
      <c r="B130" s="31">
        <f t="shared" si="5"/>
        <v>1.8570606135614309</v>
      </c>
      <c r="C130" s="31">
        <f t="shared" si="6"/>
        <v>0.25289277235981011</v>
      </c>
      <c r="D130" s="92"/>
      <c r="E130" s="19"/>
      <c r="T130" s="38">
        <f>(B130-'FY2011'!B131)/'FY2011'!B131</f>
        <v>-3.4083060345678477E-2</v>
      </c>
      <c r="U130" s="38">
        <f>(C130-'FY2011'!C131)/'FY2011'!C131</f>
        <v>-0.25435455653410688</v>
      </c>
      <c r="V130" s="26"/>
    </row>
    <row r="131" spans="1:22" s="5" customFormat="1" ht="12" x14ac:dyDescent="0.2">
      <c r="A131" s="109" t="s">
        <v>76</v>
      </c>
      <c r="B131" s="32">
        <f>(B96+B79)/B45</f>
        <v>1.749460118595767</v>
      </c>
      <c r="C131" s="32">
        <f t="shared" si="6"/>
        <v>0.25659174367369447</v>
      </c>
      <c r="D131" s="93"/>
      <c r="E131" s="19"/>
      <c r="T131" s="39">
        <f>AVERAGE(T119:T130)</f>
        <v>-7.8976987273724583E-2</v>
      </c>
      <c r="U131" s="39">
        <f>AVERAGE(U119:U130)</f>
        <v>-0.21790812437842452</v>
      </c>
      <c r="V131" s="23"/>
    </row>
    <row r="132" spans="1:22" s="5" customFormat="1" ht="12" x14ac:dyDescent="0.2">
      <c r="A132" s="59" t="s">
        <v>35</v>
      </c>
      <c r="B132" s="88"/>
      <c r="C132" s="88"/>
      <c r="D132" s="88"/>
      <c r="E132" s="19"/>
      <c r="T132" s="51"/>
      <c r="U132" s="51"/>
      <c r="V132" s="18"/>
    </row>
    <row r="133" spans="1:22" x14ac:dyDescent="0.2">
      <c r="B133" s="21"/>
      <c r="C133" s="21"/>
      <c r="D133" s="21"/>
      <c r="E133" s="21"/>
    </row>
    <row r="134" spans="1:22" s="5" customFormat="1" x14ac:dyDescent="0.2">
      <c r="A134" s="19"/>
      <c r="B134" s="208" t="s">
        <v>53</v>
      </c>
      <c r="C134" s="208"/>
      <c r="D134" s="210"/>
      <c r="E134" s="19"/>
      <c r="T134" s="209" t="s">
        <v>31</v>
      </c>
      <c r="U134" s="209"/>
      <c r="V134" s="209"/>
    </row>
    <row r="135" spans="1:22" s="5" customFormat="1" ht="36" x14ac:dyDescent="0.2">
      <c r="A135" s="106" t="s">
        <v>1</v>
      </c>
      <c r="B135" s="99" t="s">
        <v>56</v>
      </c>
      <c r="C135" s="99" t="s">
        <v>3</v>
      </c>
      <c r="D135" s="94"/>
      <c r="E135" s="19"/>
      <c r="T135" s="8" t="s">
        <v>9</v>
      </c>
      <c r="U135" s="8" t="s">
        <v>10</v>
      </c>
      <c r="V135" s="54"/>
    </row>
    <row r="136" spans="1:22" s="5" customFormat="1" ht="12" x14ac:dyDescent="0.2">
      <c r="A136" s="9">
        <v>40817</v>
      </c>
      <c r="B136" s="90">
        <f t="shared" ref="B136:C147" si="7">B84/B33</f>
        <v>0.10991224909688312</v>
      </c>
      <c r="C136" s="90">
        <f t="shared" si="7"/>
        <v>3.5194163996107787E-2</v>
      </c>
      <c r="D136" s="92"/>
      <c r="E136" s="19"/>
      <c r="T136" s="38">
        <f>(B136-'FY2011'!B137)/'FY2011'!B120</f>
        <v>-4.4872430343463523E-3</v>
      </c>
      <c r="U136" s="55"/>
      <c r="V136" s="26"/>
    </row>
    <row r="137" spans="1:22" s="5" customFormat="1" ht="12" x14ac:dyDescent="0.2">
      <c r="A137" s="9">
        <v>40848</v>
      </c>
      <c r="B137" s="90">
        <f t="shared" ref="B137:B147" si="8">B85/B34</f>
        <v>0.11399001248176155</v>
      </c>
      <c r="C137" s="90">
        <f t="shared" si="7"/>
        <v>3.6547658053103262E-2</v>
      </c>
      <c r="D137" s="92"/>
      <c r="E137" s="19"/>
      <c r="T137" s="38">
        <f>(B137-'FY2011'!B138)/'FY2011'!B121</f>
        <v>7.9259370898719346E-4</v>
      </c>
      <c r="U137" s="55"/>
      <c r="V137" s="26"/>
    </row>
    <row r="138" spans="1:22" s="5" customFormat="1" ht="12" x14ac:dyDescent="0.2">
      <c r="A138" s="9">
        <v>40878</v>
      </c>
      <c r="B138" s="90">
        <f t="shared" si="8"/>
        <v>0.11529737532985765</v>
      </c>
      <c r="C138" s="90">
        <f t="shared" si="7"/>
        <v>3.6635089924562415E-2</v>
      </c>
      <c r="D138" s="92"/>
      <c r="E138" s="19"/>
      <c r="T138" s="38">
        <f>(B138-'FY2011'!B139)/'FY2011'!B122</f>
        <v>-2.1367646499252163E-3</v>
      </c>
      <c r="U138" s="55"/>
      <c r="V138" s="26"/>
    </row>
    <row r="139" spans="1:22" s="5" customFormat="1" ht="12" x14ac:dyDescent="0.2">
      <c r="A139" s="9">
        <v>40909</v>
      </c>
      <c r="B139" s="90">
        <f t="shared" si="8"/>
        <v>0.11032645399014486</v>
      </c>
      <c r="C139" s="90">
        <f t="shared" si="7"/>
        <v>3.6152357029197946E-2</v>
      </c>
      <c r="D139" s="92"/>
      <c r="E139" s="19"/>
      <c r="T139" s="38">
        <f>(B139-'FY2011'!B140)/'FY2011'!B123</f>
        <v>1.8595350031844751E-3</v>
      </c>
      <c r="U139" s="55"/>
      <c r="V139" s="26"/>
    </row>
    <row r="140" spans="1:22" s="5" customFormat="1" ht="12" x14ac:dyDescent="0.2">
      <c r="A140" s="9">
        <v>40940</v>
      </c>
      <c r="B140" s="90">
        <f t="shared" si="8"/>
        <v>0.11007253724650976</v>
      </c>
      <c r="C140" s="90">
        <f t="shared" si="7"/>
        <v>3.5932402078226171E-2</v>
      </c>
      <c r="D140" s="92"/>
      <c r="E140" s="19"/>
      <c r="T140" s="38">
        <f>(B140-'FY2011'!B141)/'FY2011'!B124</f>
        <v>-1.0301058329303505E-4</v>
      </c>
      <c r="U140" s="38">
        <f>(C140-'FY2011'!C141)/'FY2011'!C124</f>
        <v>-5.0995629540513954E-3</v>
      </c>
      <c r="V140" s="26"/>
    </row>
    <row r="141" spans="1:22" s="5" customFormat="1" ht="12" x14ac:dyDescent="0.2">
      <c r="A141" s="9">
        <v>40969</v>
      </c>
      <c r="B141" s="90">
        <f t="shared" si="8"/>
        <v>0.10861759088126574</v>
      </c>
      <c r="C141" s="90">
        <f t="shared" si="7"/>
        <v>3.6569524422945053E-2</v>
      </c>
      <c r="D141" s="92"/>
      <c r="E141" s="19"/>
      <c r="T141" s="38">
        <f>(B141-'FY2011'!B142)/'FY2011'!B125</f>
        <v>-7.4050806987513104E-4</v>
      </c>
      <c r="U141" s="38">
        <f>(C141-'FY2011'!C142)/'FY2011'!C125</f>
        <v>-5.1854402624442464E-3</v>
      </c>
      <c r="V141" s="26"/>
    </row>
    <row r="142" spans="1:22" s="5" customFormat="1" ht="12" x14ac:dyDescent="0.2">
      <c r="A142" s="9">
        <v>41000</v>
      </c>
      <c r="B142" s="90">
        <f t="shared" si="8"/>
        <v>0.11793840684005384</v>
      </c>
      <c r="C142" s="90">
        <f t="shared" si="7"/>
        <v>3.5647073148542457E-2</v>
      </c>
      <c r="D142" s="92"/>
      <c r="E142" s="19"/>
      <c r="T142" s="38">
        <f>(B142-'FY2011'!B143)/'FY2011'!B126</f>
        <v>2.4005212773183316E-3</v>
      </c>
      <c r="U142" s="38">
        <f>(C142-'FY2011'!C143)/'FY2011'!C126</f>
        <v>-3.6996126761799589E-3</v>
      </c>
      <c r="V142" s="26"/>
    </row>
    <row r="143" spans="1:22" s="5" customFormat="1" ht="12" x14ac:dyDescent="0.2">
      <c r="A143" s="9">
        <v>41030</v>
      </c>
      <c r="B143" s="90">
        <f t="shared" si="8"/>
        <v>0.11965308347405625</v>
      </c>
      <c r="C143" s="90">
        <f t="shared" si="7"/>
        <v>3.5495024508114141E-2</v>
      </c>
      <c r="D143" s="92"/>
      <c r="E143" s="19"/>
      <c r="T143" s="38">
        <f>(B143-'FY2011'!B144)/'FY2011'!B127</f>
        <v>2.9184187850357316E-3</v>
      </c>
      <c r="U143" s="38">
        <f>(C143-'FY2011'!C144)/'FY2011'!C127</f>
        <v>1.4860453823050935E-3</v>
      </c>
      <c r="V143" s="26"/>
    </row>
    <row r="144" spans="1:22" s="5" customFormat="1" ht="12" x14ac:dyDescent="0.2">
      <c r="A144" s="9">
        <v>41061</v>
      </c>
      <c r="B144" s="90">
        <f t="shared" si="8"/>
        <v>0.12375135639192583</v>
      </c>
      <c r="C144" s="90">
        <f t="shared" si="7"/>
        <v>3.5061107000456983E-2</v>
      </c>
      <c r="D144" s="92"/>
      <c r="E144" s="19"/>
      <c r="T144" s="38">
        <f>(B144-'FY2011'!B145)/'FY2011'!B128</f>
        <v>4.3777397573806871E-3</v>
      </c>
      <c r="U144" s="38">
        <f>(C144-'FY2011'!C145)/'FY2011'!C128</f>
        <v>-4.1388977122352021E-3</v>
      </c>
      <c r="V144" s="26"/>
    </row>
    <row r="145" spans="1:22" s="5" customFormat="1" ht="12" x14ac:dyDescent="0.2">
      <c r="A145" s="9">
        <v>41091</v>
      </c>
      <c r="B145" s="90">
        <f t="shared" si="8"/>
        <v>0.12186296533720084</v>
      </c>
      <c r="C145" s="90">
        <f t="shared" si="7"/>
        <v>3.4092608089641499E-2</v>
      </c>
      <c r="D145" s="92"/>
      <c r="E145" s="19"/>
      <c r="T145" s="38">
        <f>(B145-'FY2011'!B146)/'FY2011'!B129</f>
        <v>4.9694390870549925E-3</v>
      </c>
      <c r="U145" s="38">
        <f>(C145-'FY2011'!C146)/'FY2011'!C129</f>
        <v>-6.3203307256525579E-3</v>
      </c>
      <c r="V145" s="26"/>
    </row>
    <row r="146" spans="1:22" s="5" customFormat="1" ht="12" x14ac:dyDescent="0.2">
      <c r="A146" s="9">
        <v>41122</v>
      </c>
      <c r="B146" s="90">
        <f t="shared" si="8"/>
        <v>0.12537020321492784</v>
      </c>
      <c r="C146" s="90">
        <f t="shared" si="7"/>
        <v>3.5175054498354681E-2</v>
      </c>
      <c r="D146" s="92"/>
      <c r="E146" s="19"/>
      <c r="T146" s="38">
        <f>(B146-'FY2011'!B147)/'FY2011'!B130</f>
        <v>7.8155746127737871E-3</v>
      </c>
      <c r="U146" s="38">
        <f>(C146-'FY2011'!C147)/'FY2011'!C130</f>
        <v>-3.210030472797581E-3</v>
      </c>
      <c r="V146" s="26"/>
    </row>
    <row r="147" spans="1:22" s="5" customFormat="1" ht="12" x14ac:dyDescent="0.2">
      <c r="A147" s="9">
        <v>41153</v>
      </c>
      <c r="B147" s="90">
        <f t="shared" si="8"/>
        <v>0.13383184114968738</v>
      </c>
      <c r="C147" s="90">
        <f t="shared" si="7"/>
        <v>3.3637815988707791E-2</v>
      </c>
      <c r="D147" s="92"/>
      <c r="E147" s="19"/>
      <c r="T147" s="38">
        <f>(B147-'FY2011'!B148)/'FY2011'!B131</f>
        <v>1.0829107528126554E-2</v>
      </c>
      <c r="U147" s="38">
        <f>(C147-'FY2011'!C148)/'FY2011'!C131</f>
        <v>-1.7500393797165906E-2</v>
      </c>
      <c r="V147" s="26"/>
    </row>
    <row r="148" spans="1:22" s="5" customFormat="1" ht="12" x14ac:dyDescent="0.2">
      <c r="A148" s="109" t="s">
        <v>76</v>
      </c>
      <c r="B148" s="91">
        <f>AVERAGE(B136:B147)</f>
        <v>0.11755200628618956</v>
      </c>
      <c r="C148" s="104">
        <f>AVERAGE(C136:C147)</f>
        <v>3.5511656561496685E-2</v>
      </c>
      <c r="D148" s="93"/>
      <c r="E148" s="19"/>
      <c r="T148" s="39">
        <f>AVERAGE(T136:T147)</f>
        <v>2.3746169518685015E-3</v>
      </c>
      <c r="U148" s="39">
        <f>AVERAGE(U136:U147)</f>
        <v>-5.458527902277719E-3</v>
      </c>
      <c r="V148" s="23"/>
    </row>
    <row r="149" spans="1:22" x14ac:dyDescent="0.2">
      <c r="A149" s="59" t="s">
        <v>55</v>
      </c>
      <c r="B149" s="21"/>
      <c r="C149" s="21"/>
      <c r="D149" s="21"/>
      <c r="E149" s="21"/>
    </row>
    <row r="150" spans="1:22" x14ac:dyDescent="0.2">
      <c r="A150" s="21"/>
      <c r="B150" s="21"/>
      <c r="C150" s="21"/>
      <c r="D150" s="21"/>
      <c r="E150" s="21"/>
    </row>
    <row r="151" spans="1:22" ht="15.75" x14ac:dyDescent="0.25">
      <c r="A151" s="207" t="s">
        <v>14</v>
      </c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5"/>
      <c r="T151" s="205"/>
      <c r="U151" s="205"/>
      <c r="V151" s="205"/>
    </row>
    <row r="153" spans="1:22" x14ac:dyDescent="0.2">
      <c r="A153" s="5"/>
      <c r="B153" s="202" t="s">
        <v>16</v>
      </c>
      <c r="C153" s="202"/>
      <c r="D153" s="202"/>
      <c r="T153" s="203" t="s">
        <v>14</v>
      </c>
      <c r="U153" s="203"/>
      <c r="V153" s="203"/>
    </row>
    <row r="154" spans="1:22" ht="36" x14ac:dyDescent="0.2">
      <c r="A154" s="12" t="s">
        <v>1</v>
      </c>
      <c r="B154" s="37" t="s">
        <v>27</v>
      </c>
      <c r="C154" s="37" t="s">
        <v>26</v>
      </c>
      <c r="D154" s="37" t="s">
        <v>25</v>
      </c>
      <c r="T154" s="8" t="s">
        <v>18</v>
      </c>
      <c r="U154" s="8" t="s">
        <v>19</v>
      </c>
      <c r="V154" s="8" t="s">
        <v>11</v>
      </c>
    </row>
    <row r="155" spans="1:22" x14ac:dyDescent="0.2">
      <c r="A155" s="9">
        <v>40817</v>
      </c>
      <c r="B155" s="10">
        <v>5</v>
      </c>
      <c r="C155" s="10">
        <v>14</v>
      </c>
      <c r="D155" s="10">
        <v>27</v>
      </c>
      <c r="T155" s="38">
        <f>(B155-'FY2011'!B156)/'FY2011'!B156</f>
        <v>0.66666666666666663</v>
      </c>
      <c r="U155" s="38">
        <f>(C155-'FY2011'!C156)/'FY2011'!C156</f>
        <v>-0.68888888888888888</v>
      </c>
      <c r="V155" s="38">
        <f>(D155-'FY2011'!D156)/'FY2011'!D156</f>
        <v>-0.44897959183673469</v>
      </c>
    </row>
    <row r="156" spans="1:22" x14ac:dyDescent="0.2">
      <c r="A156" s="9">
        <v>40848</v>
      </c>
      <c r="B156" s="10">
        <v>4</v>
      </c>
      <c r="C156" s="10">
        <v>9</v>
      </c>
      <c r="D156" s="10">
        <v>13</v>
      </c>
      <c r="T156" s="38">
        <f>(B156-'FY2011'!B157)/'FY2011'!B157</f>
        <v>1</v>
      </c>
      <c r="U156" s="38">
        <f>(C156-'FY2011'!C157)/'FY2011'!C157</f>
        <v>-0.80434782608695654</v>
      </c>
      <c r="V156" s="38">
        <f>(D156-'FY2011'!D157)/'FY2011'!D157</f>
        <v>-0.72916666666666663</v>
      </c>
    </row>
    <row r="157" spans="1:22" x14ac:dyDescent="0.2">
      <c r="A157" s="9">
        <v>40878</v>
      </c>
      <c r="B157" s="10">
        <v>5</v>
      </c>
      <c r="C157" s="10">
        <v>9</v>
      </c>
      <c r="D157" s="10">
        <v>19</v>
      </c>
      <c r="T157" s="38">
        <f>(B157-'FY2011'!B158)/'FY2011'!B158</f>
        <v>0.25</v>
      </c>
      <c r="U157" s="38">
        <f>(C157-'FY2011'!C158)/'FY2011'!C158</f>
        <v>-0.35714285714285715</v>
      </c>
      <c r="V157" s="38">
        <f>(D157-'FY2011'!D158)/'FY2011'!D158</f>
        <v>5.5555555555555552E-2</v>
      </c>
    </row>
    <row r="158" spans="1:22" x14ac:dyDescent="0.2">
      <c r="A158" s="9">
        <v>40909</v>
      </c>
      <c r="B158" s="10">
        <v>4</v>
      </c>
      <c r="C158" s="10">
        <v>59</v>
      </c>
      <c r="D158" s="10">
        <v>66</v>
      </c>
      <c r="T158" s="38">
        <f>(B158-'FY2011'!B159)/'FY2011'!B159</f>
        <v>0.33333333333333331</v>
      </c>
      <c r="U158" s="38">
        <f>(C158-'FY2011'!C159)/'FY2011'!C159</f>
        <v>1.6818181818181819</v>
      </c>
      <c r="V158" s="38">
        <f>(D158-'FY2011'!D159)/'FY2011'!D159</f>
        <v>1.1290322580645162</v>
      </c>
    </row>
    <row r="159" spans="1:22" x14ac:dyDescent="0.2">
      <c r="A159" s="9">
        <v>40940</v>
      </c>
      <c r="B159" s="10">
        <v>3</v>
      </c>
      <c r="C159" s="10">
        <v>108</v>
      </c>
      <c r="D159" s="10">
        <v>114</v>
      </c>
      <c r="T159" s="38">
        <f>(B159-'FY2011'!B160)/'FY2011'!B160</f>
        <v>0.5</v>
      </c>
      <c r="U159" s="38">
        <f>(C159-'FY2011'!C160)/'FY2011'!C160</f>
        <v>3.5</v>
      </c>
      <c r="V159" s="38">
        <f>(D159-'FY2011'!D160)/'FY2011'!D160</f>
        <v>1.7804878048780488</v>
      </c>
    </row>
    <row r="160" spans="1:22" x14ac:dyDescent="0.2">
      <c r="A160" s="9">
        <v>40969</v>
      </c>
      <c r="B160" s="10">
        <v>3</v>
      </c>
      <c r="C160" s="10">
        <v>62</v>
      </c>
      <c r="D160" s="10">
        <v>66</v>
      </c>
      <c r="T160" s="38">
        <f>(B160-'FY2011'!B161)/'FY2011'!B161</f>
        <v>-0.25</v>
      </c>
      <c r="U160" s="38">
        <f>(C160-'FY2011'!C161)/'FY2011'!C161</f>
        <v>8.771929824561403E-2</v>
      </c>
      <c r="V160" s="38">
        <f>(D160-'FY2011'!D161)/'FY2011'!D161</f>
        <v>1.5384615384615385E-2</v>
      </c>
    </row>
    <row r="161" spans="1:22" x14ac:dyDescent="0.2">
      <c r="A161" s="9">
        <v>41000</v>
      </c>
      <c r="B161" s="10">
        <v>1</v>
      </c>
      <c r="C161" s="10">
        <v>31</v>
      </c>
      <c r="D161" s="10">
        <v>32</v>
      </c>
      <c r="T161" s="38">
        <f>(B161-'FY2011'!B162)/'FY2011'!B162</f>
        <v>-0.5</v>
      </c>
      <c r="U161" s="38">
        <f>(C161-'FY2011'!C162)/'FY2011'!C162</f>
        <v>1.3846153846153846</v>
      </c>
      <c r="V161" s="38">
        <f>(D161-'FY2011'!D162)/'FY2011'!D162</f>
        <v>1</v>
      </c>
    </row>
    <row r="162" spans="1:22" x14ac:dyDescent="0.2">
      <c r="A162" s="9">
        <v>41030</v>
      </c>
      <c r="B162" s="10">
        <v>4</v>
      </c>
      <c r="C162" s="10">
        <v>23</v>
      </c>
      <c r="D162" s="10">
        <v>27</v>
      </c>
      <c r="T162" s="38">
        <f>(B162-'FY2011'!B163)/'FY2011'!B163</f>
        <v>-0.33333333333333331</v>
      </c>
      <c r="U162" s="38">
        <f>(C162-'FY2011'!C163)/'FY2011'!C163</f>
        <v>-0.57407407407407407</v>
      </c>
      <c r="V162" s="38">
        <f>(D162-'FY2011'!D163)/'FY2011'!D163</f>
        <v>-0.55000000000000004</v>
      </c>
    </row>
    <row r="163" spans="1:22" x14ac:dyDescent="0.2">
      <c r="A163" s="9">
        <v>41061</v>
      </c>
      <c r="B163" s="10">
        <v>4</v>
      </c>
      <c r="C163" s="10">
        <v>41</v>
      </c>
      <c r="D163" s="10">
        <v>47</v>
      </c>
      <c r="T163" s="38">
        <f>(B163-'FY2011'!B164)/'FY2011'!B164</f>
        <v>1</v>
      </c>
      <c r="U163" s="38">
        <f>(C163-'FY2011'!C164)/'FY2011'!C164</f>
        <v>-0.31666666666666665</v>
      </c>
      <c r="V163" s="38">
        <f>(D163-'FY2011'!D164)/'FY2011'!D164</f>
        <v>-0.30882352941176472</v>
      </c>
    </row>
    <row r="164" spans="1:22" x14ac:dyDescent="0.2">
      <c r="A164" s="9">
        <v>41091</v>
      </c>
      <c r="B164" s="10">
        <v>3</v>
      </c>
      <c r="C164" s="10">
        <v>36</v>
      </c>
      <c r="D164" s="10">
        <v>39</v>
      </c>
      <c r="T164" s="38">
        <f>(B164-'FY2011'!B165)/'FY2011'!B165</f>
        <v>0</v>
      </c>
      <c r="U164" s="38">
        <f>(C164-'FY2011'!C165)/'FY2011'!C165</f>
        <v>2.6</v>
      </c>
      <c r="V164" s="38">
        <f>(D164-'FY2011'!D165)/'FY2011'!D165</f>
        <v>2</v>
      </c>
    </row>
    <row r="165" spans="1:22" x14ac:dyDescent="0.2">
      <c r="A165" s="9">
        <v>41122</v>
      </c>
      <c r="B165" s="10">
        <v>2</v>
      </c>
      <c r="C165" s="10">
        <v>28</v>
      </c>
      <c r="D165" s="10">
        <v>30</v>
      </c>
      <c r="T165" s="38">
        <f>(B165-'FY2011'!B166)/'FY2011'!B166</f>
        <v>-0.5</v>
      </c>
      <c r="U165" s="38">
        <f>(C165-'FY2011'!C166)/'FY2011'!C166</f>
        <v>0.8666666666666667</v>
      </c>
      <c r="V165" s="38">
        <f>(D165-'FY2011'!D166)/'FY2011'!D166</f>
        <v>0.42857142857142855</v>
      </c>
    </row>
    <row r="166" spans="1:22" x14ac:dyDescent="0.2">
      <c r="A166" s="9">
        <v>41153</v>
      </c>
      <c r="B166" s="10">
        <v>6</v>
      </c>
      <c r="C166" s="10">
        <v>18</v>
      </c>
      <c r="D166" s="10">
        <v>39</v>
      </c>
      <c r="T166" s="38">
        <f>(B166-'FY2011'!B167)/'FY2011'!B167</f>
        <v>1</v>
      </c>
      <c r="U166" s="38">
        <f>(C166-'FY2011'!C167)/'FY2011'!C167</f>
        <v>0.2857142857142857</v>
      </c>
      <c r="V166" s="38">
        <f>(D166-'FY2011'!D167)/'FY2011'!D167</f>
        <v>1.1666666666666667</v>
      </c>
    </row>
    <row r="167" spans="1:22" x14ac:dyDescent="0.2">
      <c r="A167" s="108" t="s">
        <v>76</v>
      </c>
      <c r="B167" s="11">
        <f>SUM(B155:B166)</f>
        <v>44</v>
      </c>
      <c r="C167" s="11">
        <f>SUM(C155:C166)</f>
        <v>438</v>
      </c>
      <c r="D167" s="11">
        <f>SUM(D155:D166)</f>
        <v>519</v>
      </c>
      <c r="T167" s="39">
        <f>AVERAGE(T155:T166)</f>
        <v>0.2638888888888889</v>
      </c>
      <c r="U167" s="39">
        <f>AVERAGE(U155:U166)</f>
        <v>0.63878445868339084</v>
      </c>
      <c r="V167" s="39">
        <f>AVERAGE(V155:V166)</f>
        <v>0.46156071176713881</v>
      </c>
    </row>
    <row r="170" spans="1:22" x14ac:dyDescent="0.2">
      <c r="A170" s="5"/>
      <c r="B170" s="212" t="s">
        <v>39</v>
      </c>
      <c r="C170" s="213"/>
      <c r="D170" s="214"/>
      <c r="T170" s="215" t="s">
        <v>33</v>
      </c>
      <c r="U170" s="216"/>
      <c r="V170" s="217"/>
    </row>
    <row r="171" spans="1:22" ht="36" x14ac:dyDescent="0.2">
      <c r="A171" s="12" t="s">
        <v>1</v>
      </c>
      <c r="B171" s="37" t="s">
        <v>32</v>
      </c>
      <c r="C171" s="52"/>
      <c r="D171" s="52"/>
      <c r="T171" s="8" t="s">
        <v>18</v>
      </c>
      <c r="U171" s="54"/>
      <c r="V171" s="54"/>
    </row>
    <row r="172" spans="1:22" x14ac:dyDescent="0.2">
      <c r="A172" s="9">
        <v>40817</v>
      </c>
      <c r="B172" s="58">
        <v>6478</v>
      </c>
      <c r="C172" s="53"/>
      <c r="D172" s="53"/>
      <c r="T172" s="38">
        <f>(B172-'FY2011'!B173)/'FY2011'!B173</f>
        <v>0.11133985246182879</v>
      </c>
      <c r="U172" s="55"/>
      <c r="V172" s="55"/>
    </row>
    <row r="173" spans="1:22" x14ac:dyDescent="0.2">
      <c r="A173" s="9">
        <v>40848</v>
      </c>
      <c r="B173" s="58">
        <v>6489</v>
      </c>
      <c r="C173" s="53"/>
      <c r="D173" s="53"/>
      <c r="T173" s="38">
        <f>(B173-'FY2011'!B174)/'FY2011'!B174</f>
        <v>0.10169779286926994</v>
      </c>
      <c r="U173" s="55"/>
      <c r="V173" s="55"/>
    </row>
    <row r="174" spans="1:22" x14ac:dyDescent="0.2">
      <c r="A174" s="9">
        <v>40878</v>
      </c>
      <c r="B174" s="58">
        <v>6525</v>
      </c>
      <c r="C174" s="53"/>
      <c r="D174" s="53"/>
      <c r="T174" s="38">
        <f>(B174-'FY2011'!B175)/'FY2011'!B175</f>
        <v>0.10424775765781012</v>
      </c>
      <c r="U174" s="55"/>
      <c r="V174" s="55"/>
    </row>
    <row r="175" spans="1:22" x14ac:dyDescent="0.2">
      <c r="A175" s="9">
        <v>40909</v>
      </c>
      <c r="B175" s="58">
        <v>6618</v>
      </c>
      <c r="C175" s="53"/>
      <c r="D175" s="53"/>
      <c r="T175" s="38">
        <f>(B175-'FY2011'!B176)/'FY2011'!B176</f>
        <v>0.11021640664318068</v>
      </c>
      <c r="U175" s="55"/>
      <c r="V175" s="55"/>
    </row>
    <row r="176" spans="1:22" x14ac:dyDescent="0.2">
      <c r="A176" s="9">
        <v>40940</v>
      </c>
      <c r="B176" s="58">
        <v>6778</v>
      </c>
      <c r="C176" s="53"/>
      <c r="D176" s="53"/>
      <c r="T176" s="38">
        <f>(B176-'FY2011'!B177)/'FY2011'!B177</f>
        <v>0.1251660026560425</v>
      </c>
      <c r="U176" s="55"/>
      <c r="V176" s="55"/>
    </row>
    <row r="177" spans="1:22" x14ac:dyDescent="0.2">
      <c r="A177" s="9">
        <v>40969</v>
      </c>
      <c r="B177" s="58">
        <v>6815</v>
      </c>
      <c r="C177" s="53"/>
      <c r="D177" s="53"/>
      <c r="T177" s="38">
        <f>(B177-'FY2011'!B178)/'FY2011'!B178</f>
        <v>0.11174551386623165</v>
      </c>
      <c r="U177" s="55"/>
      <c r="V177" s="55"/>
    </row>
    <row r="178" spans="1:22" x14ac:dyDescent="0.2">
      <c r="A178" s="9">
        <v>41000</v>
      </c>
      <c r="B178" s="58">
        <v>6856</v>
      </c>
      <c r="C178" s="53"/>
      <c r="D178" s="53"/>
      <c r="T178" s="38">
        <f>(B178-'FY2011'!B179)/'FY2011'!B179</f>
        <v>0.11136326795266656</v>
      </c>
      <c r="U178" s="55"/>
      <c r="V178" s="55"/>
    </row>
    <row r="179" spans="1:22" x14ac:dyDescent="0.2">
      <c r="A179" s="9">
        <v>41030</v>
      </c>
      <c r="B179" s="58">
        <v>6922</v>
      </c>
      <c r="C179" s="53"/>
      <c r="D179" s="53"/>
      <c r="T179" s="38">
        <f>(B179-'FY2011'!B180)/'FY2011'!B180</f>
        <v>0.11000641436818473</v>
      </c>
      <c r="U179" s="55"/>
      <c r="V179" s="55"/>
    </row>
    <row r="180" spans="1:22" x14ac:dyDescent="0.2">
      <c r="A180" s="9">
        <v>41061</v>
      </c>
      <c r="B180" s="58">
        <v>6969</v>
      </c>
      <c r="C180" s="53"/>
      <c r="D180" s="53"/>
      <c r="T180" s="38">
        <f>(B180-'FY2011'!B181)/'FY2011'!B181</f>
        <v>0.10199240986717267</v>
      </c>
      <c r="U180" s="55"/>
      <c r="V180" s="55"/>
    </row>
    <row r="181" spans="1:22" x14ac:dyDescent="0.2">
      <c r="A181" s="9">
        <v>41091</v>
      </c>
      <c r="B181" s="58">
        <v>6988</v>
      </c>
      <c r="C181" s="53"/>
      <c r="D181" s="53"/>
      <c r="T181" s="38">
        <f>(B181-'FY2011'!B182)/'FY2011'!B182</f>
        <v>9.874213836477988E-2</v>
      </c>
      <c r="U181" s="55"/>
      <c r="V181" s="55"/>
    </row>
    <row r="182" spans="1:22" x14ac:dyDescent="0.2">
      <c r="A182" s="9">
        <v>41122</v>
      </c>
      <c r="B182" s="58">
        <v>7051</v>
      </c>
      <c r="C182" s="53"/>
      <c r="D182" s="53"/>
      <c r="T182" s="38">
        <f>(B182-'FY2011'!B183)/'FY2011'!B183</f>
        <v>0.10309762202753442</v>
      </c>
      <c r="U182" s="55"/>
      <c r="V182" s="55"/>
    </row>
    <row r="183" spans="1:22" x14ac:dyDescent="0.2">
      <c r="A183" s="9">
        <v>41153</v>
      </c>
      <c r="B183" s="58">
        <v>7139</v>
      </c>
      <c r="C183" s="53"/>
      <c r="D183" s="53"/>
      <c r="T183" s="38">
        <f>(B183-'FY2011'!B184)/'FY2011'!B184</f>
        <v>0.10596436870642913</v>
      </c>
      <c r="U183" s="55"/>
      <c r="V183" s="55"/>
    </row>
    <row r="184" spans="1:22" x14ac:dyDescent="0.2">
      <c r="A184" s="63" t="s">
        <v>77</v>
      </c>
      <c r="B184" s="63">
        <f>AVERAGE(B172:B183)</f>
        <v>6802.333333333333</v>
      </c>
      <c r="C184" s="53"/>
      <c r="D184" s="53"/>
      <c r="T184" s="39">
        <f>AVERAGE(T172:T183)</f>
        <v>0.10796496228676093</v>
      </c>
      <c r="U184" s="55"/>
      <c r="V184" s="55"/>
    </row>
    <row r="185" spans="1:22" x14ac:dyDescent="0.2">
      <c r="A185" s="77"/>
      <c r="B185" s="77"/>
      <c r="C185" s="83"/>
      <c r="D185" s="83"/>
      <c r="T185" s="51"/>
      <c r="U185" s="50"/>
      <c r="V185" s="50"/>
    </row>
    <row r="187" spans="1:22" ht="15.75" x14ac:dyDescent="0.25">
      <c r="A187" s="207" t="s">
        <v>49</v>
      </c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5"/>
      <c r="T187" s="205"/>
      <c r="U187" s="205"/>
      <c r="V187" s="205"/>
    </row>
    <row r="188" spans="1:22" ht="15.75" x14ac:dyDescent="0.2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105"/>
      <c r="O188" s="105"/>
      <c r="P188" s="105"/>
      <c r="Q188" s="105"/>
      <c r="R188" s="105"/>
      <c r="S188" s="96"/>
      <c r="T188" s="96"/>
      <c r="U188" s="96"/>
      <c r="V188" s="96"/>
    </row>
    <row r="189" spans="1:22" x14ac:dyDescent="0.2">
      <c r="A189" s="5"/>
      <c r="B189" s="212" t="s">
        <v>40</v>
      </c>
      <c r="C189" s="213"/>
      <c r="D189" s="214"/>
      <c r="T189" s="212" t="s">
        <v>40</v>
      </c>
      <c r="U189" s="213"/>
      <c r="V189" s="214"/>
    </row>
    <row r="190" spans="1:22" ht="48.75" customHeight="1" x14ac:dyDescent="0.2">
      <c r="A190" s="12" t="s">
        <v>1</v>
      </c>
      <c r="B190" s="37" t="s">
        <v>41</v>
      </c>
      <c r="C190" s="64" t="s">
        <v>42</v>
      </c>
      <c r="D190" s="64" t="s">
        <v>43</v>
      </c>
      <c r="T190" s="8" t="s">
        <v>72</v>
      </c>
      <c r="U190" s="8" t="s">
        <v>73</v>
      </c>
      <c r="V190" s="54"/>
    </row>
    <row r="191" spans="1:22" x14ac:dyDescent="0.2">
      <c r="A191" s="9">
        <v>40817</v>
      </c>
      <c r="B191" s="58">
        <v>737</v>
      </c>
      <c r="C191" s="43">
        <v>268323</v>
      </c>
      <c r="D191" s="66">
        <f t="shared" ref="D191:D196" si="9">B191/B33</f>
        <v>1.2299111042949598E-4</v>
      </c>
      <c r="E191" s="68"/>
      <c r="T191" s="102">
        <f>(B191-'FY2011'!B192)/'FY2011'!B192</f>
        <v>-0.18921892189218922</v>
      </c>
      <c r="U191" s="102">
        <f>(C191-'FY2011'!C192)/'FY2011'!C192</f>
        <v>-0.11433154762494183</v>
      </c>
      <c r="V191" s="55"/>
    </row>
    <row r="192" spans="1:22" x14ac:dyDescent="0.2">
      <c r="A192" s="9">
        <v>40848</v>
      </c>
      <c r="B192" s="58">
        <v>640</v>
      </c>
      <c r="C192" s="43">
        <v>278843.49</v>
      </c>
      <c r="D192" s="66">
        <f t="shared" si="9"/>
        <v>1.124799688992886E-4</v>
      </c>
      <c r="E192" s="68"/>
      <c r="T192" s="102">
        <f>(B192-'FY2011'!B193)/'FY2011'!B193</f>
        <v>-7.1117561683599423E-2</v>
      </c>
      <c r="U192" s="102">
        <f>(C192-'FY2011'!C193)/'FY2011'!C193</f>
        <v>0.46064005657264079</v>
      </c>
      <c r="V192" s="55"/>
    </row>
    <row r="193" spans="1:22" x14ac:dyDescent="0.2">
      <c r="A193" s="9">
        <v>40878</v>
      </c>
      <c r="B193" s="58">
        <v>594</v>
      </c>
      <c r="C193" s="43">
        <v>273394</v>
      </c>
      <c r="D193" s="66">
        <f t="shared" si="9"/>
        <v>1.0035105976800997E-4</v>
      </c>
      <c r="E193" s="68"/>
      <c r="T193" s="102">
        <f>(B193-'FY2011'!B194)/'FY2011'!B194</f>
        <v>-0.13284671532846715</v>
      </c>
      <c r="U193" s="102">
        <f>(C193-'FY2011'!C194)/'FY2011'!C194</f>
        <v>0.223244846733095</v>
      </c>
      <c r="V193" s="55"/>
    </row>
    <row r="194" spans="1:22" x14ac:dyDescent="0.2">
      <c r="A194" s="9">
        <v>40909</v>
      </c>
      <c r="B194" s="58">
        <v>559</v>
      </c>
      <c r="C194" s="43">
        <v>237897</v>
      </c>
      <c r="D194" s="66">
        <f t="shared" si="9"/>
        <v>9.4190644560566099E-5</v>
      </c>
      <c r="E194" s="68"/>
      <c r="T194" s="102">
        <f>(B194-'FY2011'!B195)/'FY2011'!B195</f>
        <v>-9.838709677419355E-2</v>
      </c>
      <c r="U194" s="102">
        <f>(C194-'FY2011'!C195)/'FY2011'!C195</f>
        <v>6.095554098711585E-2</v>
      </c>
      <c r="V194" s="55"/>
    </row>
    <row r="195" spans="1:22" x14ac:dyDescent="0.2">
      <c r="A195" s="9">
        <v>40940</v>
      </c>
      <c r="B195" s="58">
        <f>499+154+30</f>
        <v>683</v>
      </c>
      <c r="C195" s="43">
        <f>352734+85463+35683</f>
        <v>473880</v>
      </c>
      <c r="D195" s="66">
        <f t="shared" si="9"/>
        <v>1.1136247834505249E-4</v>
      </c>
      <c r="E195" s="68"/>
      <c r="T195" s="102">
        <f>(B195-'FY2011'!B196)/'FY2011'!B196</f>
        <v>0.1857638888888889</v>
      </c>
      <c r="U195" s="102">
        <f>(C195-'FY2011'!C196)/'FY2011'!C196</f>
        <v>0.73320849121472353</v>
      </c>
      <c r="V195" s="55"/>
    </row>
    <row r="196" spans="1:22" x14ac:dyDescent="0.2">
      <c r="A196" s="9">
        <v>40969</v>
      </c>
      <c r="B196" s="58">
        <f>522+154+32</f>
        <v>708</v>
      </c>
      <c r="C196" s="43">
        <f>165768+56027+15651</f>
        <v>237446</v>
      </c>
      <c r="D196" s="66">
        <f t="shared" si="9"/>
        <v>1.0418383443599463E-4</v>
      </c>
      <c r="E196" s="68"/>
      <c r="T196" s="102">
        <f>(B196-'FY2011'!B197)/'FY2011'!B197</f>
        <v>-0.18055555555555555</v>
      </c>
      <c r="U196" s="102">
        <f>(C196-'FY2011'!C197)/'FY2011'!C197</f>
        <v>-0.33481062303899595</v>
      </c>
      <c r="V196" s="55"/>
    </row>
    <row r="197" spans="1:22" x14ac:dyDescent="0.2">
      <c r="A197" s="9">
        <v>41000</v>
      </c>
      <c r="B197" s="58">
        <v>581</v>
      </c>
      <c r="C197" s="43">
        <v>220679.59</v>
      </c>
      <c r="D197" s="66">
        <f t="shared" ref="D197:D203" si="10">B197/B39</f>
        <v>9.0401985420540391E-5</v>
      </c>
      <c r="E197" s="68"/>
      <c r="T197" s="102">
        <f>(B197-'FY2011'!B198)/'FY2011'!B198</f>
        <v>-0.23046357615894039</v>
      </c>
      <c r="U197" s="102">
        <f>(C197-'FY2011'!C198)/'FY2011'!C198</f>
        <v>-9.1786264003094892E-2</v>
      </c>
      <c r="V197" s="55"/>
    </row>
    <row r="198" spans="1:22" x14ac:dyDescent="0.2">
      <c r="A198" s="9">
        <v>41030</v>
      </c>
      <c r="B198" s="58">
        <f>519+178+31</f>
        <v>728</v>
      </c>
      <c r="C198" s="43">
        <f>297683.25+55819.32+7318.34</f>
        <v>360820.91000000003</v>
      </c>
      <c r="D198" s="66">
        <f t="shared" si="10"/>
        <v>1.0284910383535328E-4</v>
      </c>
      <c r="T198" s="102">
        <f>(B198-'FY2011'!B199)/'FY2011'!B199</f>
        <v>8.8191330343796712E-2</v>
      </c>
      <c r="U198" s="102">
        <f>(C198-'FY2011'!C199)/'FY2011'!C199</f>
        <v>0.4617899001357183</v>
      </c>
      <c r="V198" s="55"/>
    </row>
    <row r="199" spans="1:22" x14ac:dyDescent="0.2">
      <c r="A199" s="9">
        <v>41061</v>
      </c>
      <c r="B199" s="58">
        <f>449+204+31</f>
        <v>684</v>
      </c>
      <c r="C199" s="43">
        <f>278032.59+58209.76+8615.12</f>
        <v>344857.47000000003</v>
      </c>
      <c r="D199" s="66">
        <f t="shared" si="10"/>
        <v>9.6117283320869005E-5</v>
      </c>
      <c r="T199" s="102">
        <f>(B199-'FY2011'!B200)/'FY2011'!B200</f>
        <v>-7.567567567567568E-2</v>
      </c>
      <c r="U199" s="102">
        <f>(C199-'FY2011'!C200)/'FY2011'!C200</f>
        <v>0.32729378030944511</v>
      </c>
      <c r="V199" s="55"/>
    </row>
    <row r="200" spans="1:22" x14ac:dyDescent="0.2">
      <c r="A200" s="9">
        <v>41091</v>
      </c>
      <c r="B200" s="58">
        <f>459+195+33</f>
        <v>687</v>
      </c>
      <c r="C200" s="43">
        <f>166929.14+48384.84+12374.6</f>
        <v>227688.58000000002</v>
      </c>
      <c r="D200" s="66">
        <f t="shared" si="10"/>
        <v>9.8105899249097166E-5</v>
      </c>
      <c r="T200" s="102">
        <f>(B200-'FY2011'!B201)/'FY2011'!B201</f>
        <v>1.4771048744460856E-2</v>
      </c>
      <c r="U200" s="102">
        <f>(C200-'FY2011'!C201)/'FY2011'!C201</f>
        <v>-0.11393865034685761</v>
      </c>
      <c r="V200" s="55"/>
    </row>
    <row r="201" spans="1:22" x14ac:dyDescent="0.2">
      <c r="A201" s="9">
        <v>41122</v>
      </c>
      <c r="B201" s="58">
        <v>839</v>
      </c>
      <c r="C201" s="43">
        <v>356781</v>
      </c>
      <c r="D201" s="66">
        <f t="shared" si="10"/>
        <v>1.181089282466441E-4</v>
      </c>
      <c r="T201" s="102">
        <f>(B201-'FY2011'!B202)/'FY2011'!B202</f>
        <v>-9.4451003541912628E-3</v>
      </c>
      <c r="U201" s="102">
        <f>(C201-'FY2011'!C202)/'FY2011'!C202</f>
        <v>0.28812598340821277</v>
      </c>
      <c r="V201" s="55"/>
    </row>
    <row r="202" spans="1:22" x14ac:dyDescent="0.2">
      <c r="A202" s="9">
        <v>41153</v>
      </c>
      <c r="B202" s="58">
        <f>475+254+41</f>
        <v>770</v>
      </c>
      <c r="C202" s="43">
        <f>143654.47+97480.47+9354.24</f>
        <v>250489.18</v>
      </c>
      <c r="D202" s="66">
        <f t="shared" si="10"/>
        <v>1.2147606992415002E-4</v>
      </c>
      <c r="T202" s="102">
        <f>(B202-'FY2011'!B203)/'FY2011'!B203</f>
        <v>0.19937694704049844</v>
      </c>
      <c r="U202" s="102">
        <f>(C202-'FY2011'!C203)/'FY2011'!C203</f>
        <v>-6.3552887265926256E-2</v>
      </c>
      <c r="V202" s="55"/>
    </row>
    <row r="203" spans="1:22" x14ac:dyDescent="0.2">
      <c r="A203" s="110" t="s">
        <v>76</v>
      </c>
      <c r="B203" s="63">
        <f>SUM(B191:B202)</f>
        <v>8210</v>
      </c>
      <c r="C203" s="65">
        <f>SUM(C191:C202)</f>
        <v>3531100.2200000007</v>
      </c>
      <c r="D203" s="67">
        <f t="shared" si="10"/>
        <v>1.0589253249343315E-4</v>
      </c>
      <c r="T203" s="103">
        <f>AVERAGE(T191:T202)</f>
        <v>-4.1633915700430603E-2</v>
      </c>
      <c r="U203" s="103">
        <f>AVERAGE(U191:U202)</f>
        <v>0.15306988559009457</v>
      </c>
      <c r="V203" s="55"/>
    </row>
    <row r="204" spans="1:22" x14ac:dyDescent="0.2">
      <c r="D204" s="68"/>
      <c r="T204" s="57"/>
      <c r="U204" s="57"/>
      <c r="V204" s="57"/>
    </row>
    <row r="205" spans="1:22" x14ac:dyDescent="0.2">
      <c r="B205" s="218" t="s">
        <v>69</v>
      </c>
      <c r="C205" s="218"/>
      <c r="D205" s="69">
        <v>1.3999999999999999E-4</v>
      </c>
      <c r="T205" s="57"/>
      <c r="U205" s="57"/>
      <c r="V205" s="57"/>
    </row>
    <row r="207" spans="1:22" ht="15.75" x14ac:dyDescent="0.25">
      <c r="A207" s="207" t="s">
        <v>78</v>
      </c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5"/>
      <c r="T207" s="205"/>
      <c r="U207" s="205"/>
      <c r="V207" s="205"/>
    </row>
    <row r="208" spans="1:22" ht="15.75" x14ac:dyDescent="0.2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1"/>
      <c r="T208" s="111"/>
      <c r="U208" s="111"/>
      <c r="V208" s="111"/>
    </row>
    <row r="209" spans="1:22" x14ac:dyDescent="0.2">
      <c r="A209" s="5"/>
      <c r="B209" s="211" t="s">
        <v>80</v>
      </c>
      <c r="C209" s="211"/>
      <c r="D209" s="211"/>
      <c r="E209" s="224"/>
      <c r="F209" s="224"/>
      <c r="T209" s="212" t="s">
        <v>80</v>
      </c>
      <c r="U209" s="213"/>
      <c r="V209" s="214"/>
    </row>
    <row r="210" spans="1:22" ht="48.75" customHeight="1" x14ac:dyDescent="0.2">
      <c r="A210" s="12" t="s">
        <v>1</v>
      </c>
      <c r="B210" s="115" t="s">
        <v>79</v>
      </c>
      <c r="C210" s="116" t="s">
        <v>83</v>
      </c>
      <c r="D210" s="116" t="s">
        <v>82</v>
      </c>
      <c r="E210" s="225" t="s">
        <v>81</v>
      </c>
      <c r="F210" s="226"/>
      <c r="T210" s="113"/>
      <c r="U210" s="113"/>
      <c r="V210" s="54"/>
    </row>
    <row r="211" spans="1:22" x14ac:dyDescent="0.2">
      <c r="A211" s="9">
        <v>40817</v>
      </c>
      <c r="B211" s="117">
        <v>594</v>
      </c>
      <c r="C211" s="73">
        <v>31</v>
      </c>
      <c r="D211" s="73">
        <v>14</v>
      </c>
      <c r="E211" s="232">
        <f>D211/B211</f>
        <v>2.3569023569023569E-2</v>
      </c>
      <c r="F211" s="232"/>
      <c r="T211" s="114"/>
      <c r="U211" s="114"/>
      <c r="V211" s="55"/>
    </row>
    <row r="212" spans="1:22" x14ac:dyDescent="0.2">
      <c r="A212" s="9">
        <v>40848</v>
      </c>
      <c r="B212" s="117">
        <v>599</v>
      </c>
      <c r="C212" s="73">
        <v>60</v>
      </c>
      <c r="D212" s="73">
        <v>27</v>
      </c>
      <c r="E212" s="232">
        <f>D212/B212</f>
        <v>4.5075125208681135E-2</v>
      </c>
      <c r="F212" s="232"/>
      <c r="T212" s="114"/>
      <c r="U212" s="114"/>
      <c r="V212" s="55"/>
    </row>
    <row r="213" spans="1:22" x14ac:dyDescent="0.2">
      <c r="A213" s="9">
        <v>40878</v>
      </c>
      <c r="B213" s="117">
        <v>603</v>
      </c>
      <c r="C213" s="73">
        <v>68</v>
      </c>
      <c r="D213" s="73">
        <v>38</v>
      </c>
      <c r="E213" s="232">
        <f>D213/B213</f>
        <v>6.3018242122719739E-2</v>
      </c>
      <c r="F213" s="232"/>
      <c r="T213" s="114"/>
      <c r="U213" s="114"/>
      <c r="V213" s="55"/>
    </row>
    <row r="214" spans="1:22" x14ac:dyDescent="0.2">
      <c r="A214" s="9">
        <v>40909</v>
      </c>
      <c r="B214" s="117">
        <v>608</v>
      </c>
      <c r="C214" s="73">
        <v>94</v>
      </c>
      <c r="D214" s="73">
        <v>48</v>
      </c>
      <c r="E214" s="232">
        <f>D214/B214</f>
        <v>7.8947368421052627E-2</v>
      </c>
      <c r="F214" s="232"/>
      <c r="T214" s="114"/>
      <c r="U214" s="114"/>
      <c r="V214" s="55"/>
    </row>
    <row r="215" spans="1:22" x14ac:dyDescent="0.2">
      <c r="A215" s="9">
        <v>40940</v>
      </c>
      <c r="B215" s="58">
        <v>612</v>
      </c>
      <c r="C215" s="73">
        <v>133</v>
      </c>
      <c r="D215" s="73">
        <v>66</v>
      </c>
      <c r="E215" s="232">
        <f>D215/B215</f>
        <v>0.10784313725490197</v>
      </c>
      <c r="F215" s="232"/>
      <c r="T215" s="114"/>
      <c r="U215" s="114"/>
      <c r="V215" s="55"/>
    </row>
    <row r="216" spans="1:22" x14ac:dyDescent="0.2">
      <c r="A216" s="9">
        <v>40969</v>
      </c>
      <c r="B216" s="58">
        <v>619</v>
      </c>
      <c r="C216" s="73">
        <v>194</v>
      </c>
      <c r="D216" s="73">
        <v>125</v>
      </c>
      <c r="E216" s="232">
        <f t="shared" ref="E216:E221" si="11">D216/B216</f>
        <v>0.20193861066235863</v>
      </c>
      <c r="F216" s="232"/>
      <c r="T216" s="114"/>
      <c r="U216" s="114"/>
      <c r="V216" s="55"/>
    </row>
    <row r="217" spans="1:22" x14ac:dyDescent="0.2">
      <c r="A217" s="9">
        <v>41000</v>
      </c>
      <c r="B217" s="58">
        <v>620</v>
      </c>
      <c r="C217" s="73">
        <v>228</v>
      </c>
      <c r="D217" s="73">
        <v>173</v>
      </c>
      <c r="E217" s="232">
        <f t="shared" si="11"/>
        <v>0.27903225806451615</v>
      </c>
      <c r="F217" s="232"/>
      <c r="T217" s="114"/>
      <c r="U217" s="114"/>
      <c r="V217" s="55"/>
    </row>
    <row r="218" spans="1:22" x14ac:dyDescent="0.2">
      <c r="A218" s="9">
        <v>41030</v>
      </c>
      <c r="B218" s="58">
        <v>624</v>
      </c>
      <c r="C218" s="73">
        <v>237</v>
      </c>
      <c r="D218" s="73">
        <v>178</v>
      </c>
      <c r="E218" s="232">
        <f t="shared" si="11"/>
        <v>0.28525641025641024</v>
      </c>
      <c r="F218" s="232"/>
      <c r="T218" s="114"/>
      <c r="U218" s="114"/>
      <c r="V218" s="55"/>
    </row>
    <row r="219" spans="1:22" x14ac:dyDescent="0.2">
      <c r="A219" s="9">
        <v>41061</v>
      </c>
      <c r="B219" s="58">
        <v>624</v>
      </c>
      <c r="C219" s="73">
        <v>254</v>
      </c>
      <c r="D219" s="73">
        <v>197</v>
      </c>
      <c r="E219" s="232">
        <f t="shared" si="11"/>
        <v>0.31570512820512819</v>
      </c>
      <c r="F219" s="232"/>
      <c r="T219" s="114"/>
      <c r="U219" s="114"/>
      <c r="V219" s="55"/>
    </row>
    <row r="220" spans="1:22" x14ac:dyDescent="0.2">
      <c r="A220" s="9">
        <v>41091</v>
      </c>
      <c r="B220" s="58">
        <v>615</v>
      </c>
      <c r="C220" s="73">
        <v>256</v>
      </c>
      <c r="D220" s="73">
        <v>197</v>
      </c>
      <c r="E220" s="232">
        <f t="shared" si="11"/>
        <v>0.32032520325203251</v>
      </c>
      <c r="F220" s="232"/>
      <c r="T220" s="114"/>
      <c r="U220" s="114"/>
      <c r="V220" s="55"/>
    </row>
    <row r="221" spans="1:22" x14ac:dyDescent="0.2">
      <c r="A221" s="9">
        <v>41122</v>
      </c>
      <c r="B221" s="58">
        <v>617</v>
      </c>
      <c r="C221" s="73">
        <v>267</v>
      </c>
      <c r="D221" s="73">
        <v>206</v>
      </c>
      <c r="E221" s="232">
        <f t="shared" si="11"/>
        <v>0.33387358184764993</v>
      </c>
      <c r="F221" s="232"/>
      <c r="T221" s="114"/>
      <c r="U221" s="114"/>
      <c r="V221" s="55"/>
    </row>
    <row r="222" spans="1:22" x14ac:dyDescent="0.2">
      <c r="A222" s="9">
        <v>41153</v>
      </c>
      <c r="B222" s="58">
        <v>619</v>
      </c>
      <c r="C222" s="73">
        <v>275</v>
      </c>
      <c r="D222" s="73">
        <v>207</v>
      </c>
      <c r="E222" s="232">
        <f>D222/B222</f>
        <v>0.33441033925686592</v>
      </c>
      <c r="F222" s="232"/>
      <c r="T222" s="114"/>
      <c r="U222" s="114"/>
      <c r="V222" s="55"/>
    </row>
    <row r="223" spans="1:22" x14ac:dyDescent="0.2">
      <c r="A223" s="118"/>
      <c r="B223" s="77"/>
      <c r="C223" s="77"/>
      <c r="D223" s="77"/>
      <c r="E223" s="223"/>
      <c r="F223" s="223"/>
      <c r="T223" s="51"/>
      <c r="U223" s="50"/>
      <c r="V223" s="50"/>
    </row>
  </sheetData>
  <mergeCells count="52">
    <mergeCell ref="E221:F221"/>
    <mergeCell ref="E222:F222"/>
    <mergeCell ref="E223:F223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A207:V207"/>
    <mergeCell ref="T209:V209"/>
    <mergeCell ref="B209:F209"/>
    <mergeCell ref="E210:F210"/>
    <mergeCell ref="A1:V1"/>
    <mergeCell ref="A2:V2"/>
    <mergeCell ref="B15:D15"/>
    <mergeCell ref="T15:V15"/>
    <mergeCell ref="B82:D82"/>
    <mergeCell ref="T82:V82"/>
    <mergeCell ref="B99:D99"/>
    <mergeCell ref="T99:V99"/>
    <mergeCell ref="A13:V13"/>
    <mergeCell ref="B31:D31"/>
    <mergeCell ref="T31:V31"/>
    <mergeCell ref="B48:D48"/>
    <mergeCell ref="T48:V48"/>
    <mergeCell ref="B65:D65"/>
    <mergeCell ref="T65:V65"/>
    <mergeCell ref="B205:C205"/>
    <mergeCell ref="B117:D117"/>
    <mergeCell ref="T117:V117"/>
    <mergeCell ref="B134:D134"/>
    <mergeCell ref="T134:V134"/>
    <mergeCell ref="A151:V151"/>
    <mergeCell ref="B153:D153"/>
    <mergeCell ref="T153:V153"/>
    <mergeCell ref="B170:D170"/>
    <mergeCell ref="T170:V170"/>
    <mergeCell ref="A187:V187"/>
    <mergeCell ref="B189:D189"/>
    <mergeCell ref="T189:V189"/>
    <mergeCell ref="A9:Q9"/>
    <mergeCell ref="A10:Q10"/>
    <mergeCell ref="A11:Q11"/>
    <mergeCell ref="A4:V4"/>
    <mergeCell ref="A5:V5"/>
    <mergeCell ref="A6:Q6"/>
    <mergeCell ref="A7:Q7"/>
  </mergeCells>
  <printOptions horizontalCentered="1" verticalCentered="1"/>
  <pageMargins left="0.16" right="0.17" top="0.54" bottom="0.56000000000000005" header="0.5" footer="0.5"/>
  <pageSetup scale="58" fitToHeight="8" orientation="landscape" r:id="rId1"/>
  <headerFooter alignWithMargins="0">
    <oddFooter>&amp;Rpage &amp;P</oddFooter>
  </headerFooter>
  <rowBreaks count="4" manualBreakCount="4">
    <brk id="63" max="21" man="1"/>
    <brk id="115" max="21" man="1"/>
    <brk id="150" max="21" man="1"/>
    <brk id="185" max="2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topLeftCell="A19" zoomScaleNormal="100" zoomScaleSheetLayoutView="90" workbookViewId="0">
      <selection activeCell="B132" sqref="B132"/>
    </sheetView>
  </sheetViews>
  <sheetFormatPr defaultRowHeight="12.75" x14ac:dyDescent="0.2"/>
  <cols>
    <col min="1" max="1" width="17.28515625" customWidth="1"/>
    <col min="2" max="2" width="15.7109375" customWidth="1"/>
    <col min="3" max="3" width="15.42578125" customWidth="1"/>
    <col min="4" max="4" width="19.85546875" bestFit="1" customWidth="1"/>
    <col min="5" max="6" width="7.42578125" customWidth="1"/>
    <col min="14" max="14" width="6.42578125" customWidth="1"/>
    <col min="15" max="15" width="9.28515625" customWidth="1"/>
    <col min="16" max="16" width="8.5703125" customWidth="1"/>
    <col min="17" max="17" width="9.28515625" bestFit="1" customWidth="1"/>
  </cols>
  <sheetData>
    <row r="1" spans="1:17" ht="18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  <c r="O1" s="205"/>
      <c r="P1" s="205"/>
      <c r="Q1" s="205"/>
    </row>
    <row r="2" spans="1:17" ht="15.75" x14ac:dyDescent="0.25">
      <c r="A2" s="206" t="s">
        <v>67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5"/>
      <c r="O2" s="205"/>
      <c r="P2" s="205"/>
      <c r="Q2" s="205"/>
    </row>
    <row r="3" spans="1:17" ht="15.75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70"/>
      <c r="O3" s="70"/>
      <c r="P3" s="70"/>
      <c r="Q3" s="70"/>
    </row>
    <row r="4" spans="1:17" ht="15.75" x14ac:dyDescent="0.25">
      <c r="A4" s="207" t="s">
        <v>64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5"/>
      <c r="O4" s="205"/>
      <c r="P4" s="205"/>
      <c r="Q4" s="205"/>
    </row>
    <row r="5" spans="1:17" s="5" customFormat="1" ht="12" x14ac:dyDescent="0.2">
      <c r="A5" s="236" t="s">
        <v>58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17" s="5" customFormat="1" ht="12" x14ac:dyDescent="0.2">
      <c r="A6" s="236" t="s">
        <v>63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</row>
    <row r="7" spans="1:17" s="5" customFormat="1" ht="12" x14ac:dyDescent="0.2">
      <c r="A7" s="236" t="s">
        <v>62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</row>
    <row r="8" spans="1:17" s="5" customFormat="1" ht="12" x14ac:dyDescent="0.2">
      <c r="A8" s="236" t="s">
        <v>66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</row>
    <row r="9" spans="1:17" s="5" customFormat="1" ht="12" x14ac:dyDescent="0.2">
      <c r="A9" s="236" t="s">
        <v>59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</row>
    <row r="10" spans="1:17" s="5" customFormat="1" ht="12" x14ac:dyDescent="0.2">
      <c r="A10" s="236" t="s">
        <v>60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</row>
    <row r="11" spans="1:17" s="5" customFormat="1" ht="12" x14ac:dyDescent="0.2">
      <c r="A11" s="236" t="s">
        <v>61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</row>
    <row r="12" spans="1:17" s="5" customFormat="1" ht="12" x14ac:dyDescent="0.2">
      <c r="A12" s="236" t="s">
        <v>65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</row>
    <row r="13" spans="1:17" ht="15.75" x14ac:dyDescent="0.25">
      <c r="A13" s="1"/>
    </row>
    <row r="14" spans="1:17" ht="15.75" x14ac:dyDescent="0.25">
      <c r="A14" s="207" t="s">
        <v>12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5"/>
      <c r="O14" s="205"/>
      <c r="P14" s="205"/>
      <c r="Q14" s="205"/>
    </row>
    <row r="16" spans="1:17" x14ac:dyDescent="0.2">
      <c r="B16" s="203" t="s">
        <v>5</v>
      </c>
      <c r="C16" s="203"/>
      <c r="D16" s="203"/>
      <c r="F16" s="16"/>
      <c r="O16" s="203" t="s">
        <v>5</v>
      </c>
      <c r="P16" s="203"/>
      <c r="Q16" s="203"/>
    </row>
    <row r="17" spans="1:17" s="4" customFormat="1" ht="36" x14ac:dyDescent="0.2">
      <c r="A17" s="7" t="s">
        <v>1</v>
      </c>
      <c r="B17" s="8" t="s">
        <v>2</v>
      </c>
      <c r="C17" s="8" t="s">
        <v>3</v>
      </c>
      <c r="D17" s="8" t="s">
        <v>4</v>
      </c>
      <c r="E17" s="3"/>
      <c r="F17" s="2"/>
      <c r="O17" s="8" t="s">
        <v>9</v>
      </c>
      <c r="P17" s="8" t="s">
        <v>10</v>
      </c>
      <c r="Q17" s="8" t="s">
        <v>11</v>
      </c>
    </row>
    <row r="18" spans="1:17" s="5" customFormat="1" ht="12" x14ac:dyDescent="0.2">
      <c r="A18" s="9">
        <v>40452</v>
      </c>
      <c r="B18" s="47">
        <v>643239706.91999936</v>
      </c>
      <c r="C18" s="47">
        <v>204861464.94999999</v>
      </c>
      <c r="D18" s="48">
        <f t="shared" ref="D18:D26" si="0">SUM(B18:C18)</f>
        <v>848101171.86999941</v>
      </c>
      <c r="O18" s="38">
        <f>(B18-'FY2010'!B8)/'FY2010'!B8</f>
        <v>9.9379193865384685E-2</v>
      </c>
      <c r="P18" s="38">
        <f>(C18-'FY2010'!C8)/'FY2010'!C8</f>
        <v>4.4365582606517469E-2</v>
      </c>
      <c r="Q18" s="38">
        <f>(D18-'FY2010'!D8)/'FY2010'!D8</f>
        <v>8.5566240585305736E-2</v>
      </c>
    </row>
    <row r="19" spans="1:17" s="5" customFormat="1" ht="12" x14ac:dyDescent="0.2">
      <c r="A19" s="9">
        <v>40483</v>
      </c>
      <c r="B19" s="47">
        <v>563623696.85000002</v>
      </c>
      <c r="C19" s="47">
        <v>194394741.47999999</v>
      </c>
      <c r="D19" s="48">
        <f t="shared" si="0"/>
        <v>758018438.33000004</v>
      </c>
      <c r="O19" s="38">
        <f>(B19-'FY2010'!B9)/'FY2010'!B9</f>
        <v>8.6810244461310346E-2</v>
      </c>
      <c r="P19" s="38">
        <f>(C19-'FY2010'!C9)/'FY2010'!C9</f>
        <v>1.0960851451872722E-2</v>
      </c>
      <c r="Q19" s="38">
        <f>(D19-'FY2010'!D9)/'FY2010'!D9</f>
        <v>6.629392516253875E-2</v>
      </c>
    </row>
    <row r="20" spans="1:17" s="5" customFormat="1" ht="12" x14ac:dyDescent="0.2">
      <c r="A20" s="9">
        <v>40513</v>
      </c>
      <c r="B20" s="47">
        <v>644106174</v>
      </c>
      <c r="C20" s="47">
        <v>205489113</v>
      </c>
      <c r="D20" s="48">
        <f t="shared" si="0"/>
        <v>849595287</v>
      </c>
      <c r="O20" s="38">
        <f>(B20-'FY2010'!B10)/'FY2010'!B10</f>
        <v>0.12571173648238826</v>
      </c>
      <c r="P20" s="38">
        <f>(C20-'FY2010'!C10)/'FY2010'!C10</f>
        <v>5.233856536162243E-2</v>
      </c>
      <c r="Q20" s="38">
        <f>(D20-'FY2010'!D10)/'FY2010'!D10</f>
        <v>0.1070426579833039</v>
      </c>
    </row>
    <row r="21" spans="1:17" s="5" customFormat="1" ht="12" x14ac:dyDescent="0.2">
      <c r="A21" s="9">
        <v>40544</v>
      </c>
      <c r="B21" s="47">
        <v>572836045</v>
      </c>
      <c r="C21" s="47">
        <v>198520610</v>
      </c>
      <c r="D21" s="48">
        <f t="shared" si="0"/>
        <v>771356655</v>
      </c>
      <c r="O21" s="38">
        <f>(B21-'FY2010'!B11)/'FY2010'!B11</f>
        <v>0.11265826206081936</v>
      </c>
      <c r="P21" s="38">
        <f>(C21-'FY2010'!C11)/'FY2010'!C11</f>
        <v>-5.4777806925135715E-3</v>
      </c>
      <c r="Q21" s="38">
        <f>(D21-'FY2010'!D11)/'FY2010'!D11</f>
        <v>7.9651576046684339E-2</v>
      </c>
    </row>
    <row r="22" spans="1:17" s="5" customFormat="1" ht="12" x14ac:dyDescent="0.2">
      <c r="A22" s="9">
        <v>40575</v>
      </c>
      <c r="B22" s="47">
        <v>568963267</v>
      </c>
      <c r="C22" s="47">
        <v>185496077</v>
      </c>
      <c r="D22" s="48">
        <f t="shared" si="0"/>
        <v>754459344</v>
      </c>
      <c r="O22" s="38">
        <f>(B22-'FY2010'!B12)/'FY2010'!B12</f>
        <v>0.18689761630789295</v>
      </c>
      <c r="P22" s="38">
        <f>(C22-'FY2010'!C12)/'FY2010'!C12</f>
        <v>1.5091307088894712E-3</v>
      </c>
      <c r="Q22" s="38">
        <f>(D22-'FY2010'!D12)/'FY2010'!D12</f>
        <v>0.13523089153998455</v>
      </c>
    </row>
    <row r="23" spans="1:17" s="5" customFormat="1" ht="12" x14ac:dyDescent="0.2">
      <c r="A23" s="9">
        <v>40603</v>
      </c>
      <c r="B23" s="47">
        <v>660066737</v>
      </c>
      <c r="C23" s="47">
        <v>201254413</v>
      </c>
      <c r="D23" s="48">
        <f t="shared" si="0"/>
        <v>861321150</v>
      </c>
      <c r="O23" s="38">
        <f>(B23-'FY2010'!B13)/'FY2010'!B13</f>
        <v>0.18297130173818407</v>
      </c>
      <c r="P23" s="38">
        <f>(C23-'FY2010'!C13)/'FY2010'!C13</f>
        <v>2.761917841225376E-2</v>
      </c>
      <c r="Q23" s="38">
        <f>(D23-'FY2010'!D13)/'FY2010'!D13</f>
        <v>0.1426101661471984</v>
      </c>
    </row>
    <row r="24" spans="1:17" s="5" customFormat="1" ht="12" x14ac:dyDescent="0.2">
      <c r="A24" s="9">
        <v>40634</v>
      </c>
      <c r="B24" s="47">
        <v>664490173</v>
      </c>
      <c r="C24" s="47">
        <v>203187477</v>
      </c>
      <c r="D24" s="48">
        <f t="shared" si="0"/>
        <v>867677650</v>
      </c>
      <c r="O24" s="38">
        <f>(B24-'FY2010'!B14)/'FY2010'!B14</f>
        <v>0.22662207514747584</v>
      </c>
      <c r="P24" s="38">
        <f>(C24-'FY2010'!C14)/'FY2010'!C14</f>
        <v>5.8044299941677965E-2</v>
      </c>
      <c r="Q24" s="38">
        <f>(D24-'FY2010'!D14)/'FY2010'!D14</f>
        <v>0.18250193796576505</v>
      </c>
    </row>
    <row r="25" spans="1:17" s="5" customFormat="1" ht="12" x14ac:dyDescent="0.2">
      <c r="A25" s="9">
        <v>40664</v>
      </c>
      <c r="B25" s="47">
        <v>677854809</v>
      </c>
      <c r="C25" s="47">
        <v>203260624</v>
      </c>
      <c r="D25" s="48">
        <f t="shared" si="0"/>
        <v>881115433</v>
      </c>
      <c r="O25" s="38">
        <f>(B25-'FY2010'!B15)/'FY2010'!B15</f>
        <v>0.18947750934574789</v>
      </c>
      <c r="P25" s="38">
        <f>(C25-'FY2010'!C15)/'FY2010'!C15</f>
        <v>-2.0844018738803181E-2</v>
      </c>
      <c r="Q25" s="38">
        <f>(D25-'FY2010'!D15)/'FY2010'!D15</f>
        <v>0.13332036855119148</v>
      </c>
    </row>
    <row r="26" spans="1:17" s="5" customFormat="1" ht="12" x14ac:dyDescent="0.2">
      <c r="A26" s="9">
        <v>40695</v>
      </c>
      <c r="B26" s="47">
        <v>714424682</v>
      </c>
      <c r="C26" s="47">
        <v>191492037</v>
      </c>
      <c r="D26" s="48">
        <f t="shared" si="0"/>
        <v>905916719</v>
      </c>
      <c r="O26" s="38">
        <f>(B26-'FY2010'!B16)/'FY2010'!B16</f>
        <v>0.23895789739030149</v>
      </c>
      <c r="P26" s="38">
        <f>(C26-'FY2010'!C16)/'FY2010'!C16</f>
        <v>8.9063735911251551E-2</v>
      </c>
      <c r="Q26" s="38">
        <f>(D26-'FY2010'!D16)/'FY2010'!D16</f>
        <v>0.20393148658276478</v>
      </c>
    </row>
    <row r="27" spans="1:17" s="5" customFormat="1" ht="12" x14ac:dyDescent="0.2">
      <c r="A27" s="9">
        <v>40725</v>
      </c>
      <c r="B27" s="47">
        <v>728432697</v>
      </c>
      <c r="C27" s="47">
        <v>201987028</v>
      </c>
      <c r="D27" s="48">
        <f>SUM(B27:C27)</f>
        <v>930419725</v>
      </c>
      <c r="O27" s="38">
        <f>(B27-'FY2010'!B17)/'FY2010'!B17</f>
        <v>0.14390109778812829</v>
      </c>
      <c r="P27" s="38">
        <f>(C27-'FY2010'!C17)/'FY2010'!C17</f>
        <v>4.861167694641199E-2</v>
      </c>
      <c r="Q27" s="38">
        <f>(D27-'FY2010'!D17)/'FY2010'!D17</f>
        <v>0.12177122769113916</v>
      </c>
    </row>
    <row r="28" spans="1:17" s="5" customFormat="1" ht="12" x14ac:dyDescent="0.2">
      <c r="A28" s="9">
        <v>40756</v>
      </c>
      <c r="B28" s="47">
        <v>677421927</v>
      </c>
      <c r="C28" s="47">
        <v>197799494</v>
      </c>
      <c r="D28" s="48">
        <f>SUM(B28:C28)</f>
        <v>875221421</v>
      </c>
      <c r="O28" s="38">
        <f>(B28-'FY2010'!B18)/'FY2010'!B18</f>
        <v>7.408459588427245E-2</v>
      </c>
      <c r="P28" s="38">
        <f>(C28-'FY2010'!C18)/'FY2010'!C18</f>
        <v>3.2310692327304012E-2</v>
      </c>
      <c r="Q28" s="38">
        <f>(D28-'FY2010'!D18)/'FY2010'!D18</f>
        <v>6.4350701656391479E-2</v>
      </c>
    </row>
    <row r="29" spans="1:17" s="5" customFormat="1" ht="12" x14ac:dyDescent="0.2">
      <c r="A29" s="9">
        <v>40787</v>
      </c>
      <c r="B29" s="47">
        <v>667170972</v>
      </c>
      <c r="C29" s="47">
        <v>205150436</v>
      </c>
      <c r="D29" s="48">
        <f>SUM(B29:C29)</f>
        <v>872321408</v>
      </c>
      <c r="O29" s="38">
        <f>(B29-'FY2010'!B19)/'FY2010'!B19</f>
        <v>9.8224814692054754E-2</v>
      </c>
      <c r="P29" s="38">
        <f>(C29-'FY2010'!C19)/'FY2010'!C19</f>
        <v>5.9757476553735728E-2</v>
      </c>
      <c r="Q29" s="38">
        <f>(D29-'FY2010'!D19)/'FY2010'!D19</f>
        <v>8.8929134434594617E-2</v>
      </c>
    </row>
    <row r="30" spans="1:17" s="6" customFormat="1" ht="12" x14ac:dyDescent="0.2">
      <c r="A30" s="11" t="s">
        <v>8</v>
      </c>
      <c r="B30" s="49">
        <f>SUM(B18:B29)</f>
        <v>7782630886.7699995</v>
      </c>
      <c r="C30" s="49">
        <f>SUM(C18:C29)</f>
        <v>2392893515.4299998</v>
      </c>
      <c r="D30" s="49">
        <f>SUM(D18:D29)</f>
        <v>10175524402.199999</v>
      </c>
      <c r="O30" s="39">
        <f>(B30-'FY2010'!B20)/'FY2010'!B20</f>
        <v>0.14597409636066547</v>
      </c>
      <c r="P30" s="39">
        <f>(C30-'FY2010'!C20)/'FY2010'!C20</f>
        <v>3.2458733487807298E-2</v>
      </c>
      <c r="Q30" s="39">
        <f>(D30-'FY2010'!D20)/'FY2010'!D20</f>
        <v>0.11709143332494593</v>
      </c>
    </row>
    <row r="31" spans="1:17" s="5" customFormat="1" ht="12" x14ac:dyDescent="0.2"/>
    <row r="32" spans="1:17" s="5" customFormat="1" x14ac:dyDescent="0.2">
      <c r="B32" s="202" t="s">
        <v>6</v>
      </c>
      <c r="C32" s="202"/>
      <c r="D32" s="202"/>
      <c r="O32" s="203" t="s">
        <v>6</v>
      </c>
      <c r="P32" s="203"/>
      <c r="Q32" s="203"/>
    </row>
    <row r="33" spans="1:17" s="5" customFormat="1" ht="36" x14ac:dyDescent="0.2">
      <c r="A33" s="11" t="s">
        <v>1</v>
      </c>
      <c r="B33" s="12" t="s">
        <v>2</v>
      </c>
      <c r="C33" s="12" t="s">
        <v>3</v>
      </c>
      <c r="D33" s="12" t="s">
        <v>4</v>
      </c>
      <c r="O33" s="8" t="s">
        <v>9</v>
      </c>
      <c r="P33" s="8" t="s">
        <v>10</v>
      </c>
      <c r="Q33" s="8" t="s">
        <v>11</v>
      </c>
    </row>
    <row r="34" spans="1:17" s="5" customFormat="1" ht="12" x14ac:dyDescent="0.2">
      <c r="A34" s="9">
        <v>40452</v>
      </c>
      <c r="B34" s="13">
        <v>5453504</v>
      </c>
      <c r="C34" s="13">
        <v>2742674</v>
      </c>
      <c r="D34" s="33">
        <f t="shared" ref="D34:D40" si="1">SUM(B34:C34)</f>
        <v>8196178</v>
      </c>
      <c r="O34" s="38">
        <f>(B34-'FY2010'!B24)/'FY2010'!B24</f>
        <v>0.187253218164667</v>
      </c>
      <c r="P34" s="38">
        <f>(C34-'FY2010'!C24)/'FY2010'!C24</f>
        <v>6.9983189553101149E-2</v>
      </c>
      <c r="Q34" s="38">
        <f>(D34-'FY2010'!D24)/'FY2010'!D24</f>
        <v>0.14525087519803215</v>
      </c>
    </row>
    <row r="35" spans="1:17" s="5" customFormat="1" ht="12" x14ac:dyDescent="0.2">
      <c r="A35" s="9">
        <v>40483</v>
      </c>
      <c r="B35" s="13">
        <v>5211941</v>
      </c>
      <c r="C35" s="13">
        <v>2602330</v>
      </c>
      <c r="D35" s="33">
        <f t="shared" si="1"/>
        <v>7814271</v>
      </c>
      <c r="O35" s="38">
        <f>(B35-'FY2010'!B25)/'FY2010'!B25</f>
        <v>0.2868415016514077</v>
      </c>
      <c r="P35" s="38">
        <f>(C35-'FY2010'!C25)/'FY2010'!C25</f>
        <v>4.890409065058067E-2</v>
      </c>
      <c r="Q35" s="38">
        <f>(D35-'FY2010'!D25)/'FY2010'!D25</f>
        <v>0.19645622996150772</v>
      </c>
    </row>
    <row r="36" spans="1:17" s="5" customFormat="1" ht="12" x14ac:dyDescent="0.2">
      <c r="A36" s="9">
        <v>40513</v>
      </c>
      <c r="B36" s="13">
        <v>5516954</v>
      </c>
      <c r="C36" s="13">
        <v>2670307</v>
      </c>
      <c r="D36" s="33">
        <f t="shared" si="1"/>
        <v>8187261</v>
      </c>
      <c r="O36" s="38">
        <f>(B36-'FY2010'!B26)/'FY2010'!B26</f>
        <v>0.24132091867063929</v>
      </c>
      <c r="P36" s="38">
        <f>(C36-'FY2010'!C26)/'FY2010'!C26</f>
        <v>6.8131772306887384E-2</v>
      </c>
      <c r="Q36" s="38">
        <f>(D36-'FY2010'!D26)/'FY2010'!D26</f>
        <v>0.17897295965483559</v>
      </c>
    </row>
    <row r="37" spans="1:17" s="5" customFormat="1" ht="12" x14ac:dyDescent="0.2">
      <c r="A37" s="9">
        <v>40544</v>
      </c>
      <c r="B37" s="13">
        <v>5473873</v>
      </c>
      <c r="C37" s="13">
        <v>2644287</v>
      </c>
      <c r="D37" s="33">
        <f t="shared" si="1"/>
        <v>8118160</v>
      </c>
      <c r="O37" s="38">
        <f>(B37-'FY2010'!B27)/'FY2010'!B27</f>
        <v>0.3130777082256368</v>
      </c>
      <c r="P37" s="38">
        <f>(C37-'FY2010'!C27)/'FY2010'!C27</f>
        <v>3.8137601118114595E-2</v>
      </c>
      <c r="Q37" s="38">
        <f>(D37-'FY2010'!D27)/'FY2010'!D27</f>
        <v>0.20880063372186519</v>
      </c>
    </row>
    <row r="38" spans="1:17" s="5" customFormat="1" ht="12" x14ac:dyDescent="0.2">
      <c r="A38" s="9">
        <v>40575</v>
      </c>
      <c r="B38" s="13">
        <v>5514669</v>
      </c>
      <c r="C38" s="13">
        <v>2478299</v>
      </c>
      <c r="D38" s="33">
        <f t="shared" si="1"/>
        <v>7992968</v>
      </c>
      <c r="O38" s="38">
        <f>(B38-'FY2010'!B28)/'FY2010'!B28</f>
        <v>0.36102462800334956</v>
      </c>
      <c r="P38" s="38">
        <f>(C38-'FY2010'!C28)/'FY2010'!C28</f>
        <v>4.1156426432772224E-2</v>
      </c>
      <c r="Q38" s="38">
        <f>(D38-'FY2010'!D28)/'FY2010'!D28</f>
        <v>0.2426522624352786</v>
      </c>
    </row>
    <row r="39" spans="1:17" s="5" customFormat="1" ht="12" x14ac:dyDescent="0.2">
      <c r="A39" s="9">
        <v>40603</v>
      </c>
      <c r="B39" s="13">
        <v>6387329</v>
      </c>
      <c r="C39" s="13">
        <v>2753231</v>
      </c>
      <c r="D39" s="33">
        <f t="shared" si="1"/>
        <v>9140560</v>
      </c>
      <c r="O39" s="38">
        <f>(B39-'FY2010'!B29)/'FY2010'!B29</f>
        <v>0.3892577000106141</v>
      </c>
      <c r="P39" s="38">
        <f>(C39-'FY2010'!C29)/'FY2010'!C29</f>
        <v>5.469593365128618E-2</v>
      </c>
      <c r="Q39" s="38">
        <f>(D39-'FY2010'!D29)/'FY2010'!D29</f>
        <v>0.2680945590977713</v>
      </c>
    </row>
    <row r="40" spans="1:17" s="5" customFormat="1" ht="12" x14ac:dyDescent="0.2">
      <c r="A40" s="9">
        <v>40634</v>
      </c>
      <c r="B40" s="13">
        <v>6119678</v>
      </c>
      <c r="C40" s="13">
        <v>2734993</v>
      </c>
      <c r="D40" s="33">
        <f t="shared" si="1"/>
        <v>8854671</v>
      </c>
      <c r="O40" s="38">
        <f>(B40-'FY2010'!B30)/'FY2010'!B30</f>
        <v>0.3396294853954096</v>
      </c>
      <c r="P40" s="38">
        <f>(C40-'FY2010'!C30)/'FY2010'!C30</f>
        <v>5.5797190684409255E-2</v>
      </c>
      <c r="Q40" s="38">
        <f>(D40-'FY2010'!D30)/'FY2010'!D30</f>
        <v>0.23692083971257111</v>
      </c>
    </row>
    <row r="41" spans="1:17" s="5" customFormat="1" ht="12" x14ac:dyDescent="0.2">
      <c r="A41" s="9">
        <v>40664</v>
      </c>
      <c r="B41" s="13">
        <v>6290760</v>
      </c>
      <c r="C41" s="13">
        <v>2750883</v>
      </c>
      <c r="D41" s="33">
        <f>SUM(B41:C41)</f>
        <v>9041643</v>
      </c>
      <c r="O41" s="38">
        <f>(B41-'FY2010'!B31)/'FY2010'!B31</f>
        <v>0.30937555743207734</v>
      </c>
      <c r="P41" s="38">
        <f>(C41-'FY2010'!C31)/'FY2010'!C31</f>
        <v>2.8186563554102565E-3</v>
      </c>
      <c r="Q41" s="38">
        <f>(D41-'FY2010'!D31)/'FY2010'!D31</f>
        <v>0.19795766784126448</v>
      </c>
    </row>
    <row r="42" spans="1:17" s="5" customFormat="1" ht="12" x14ac:dyDescent="0.2">
      <c r="A42" s="9">
        <v>40695</v>
      </c>
      <c r="B42" s="13">
        <v>6524688</v>
      </c>
      <c r="C42" s="13">
        <v>2637336</v>
      </c>
      <c r="D42" s="33">
        <f>SUM(B42:C42)</f>
        <v>9162024</v>
      </c>
      <c r="O42" s="38">
        <f>(B42-'FY2010'!B32)/'FY2010'!B32</f>
        <v>0.37523261512195893</v>
      </c>
      <c r="P42" s="38">
        <f>(C42-'FY2010'!C32)/'FY2010'!C32</f>
        <v>7.7123136614253629E-2</v>
      </c>
      <c r="Q42" s="38">
        <f>(D42-'FY2010'!D32)/'FY2010'!D32</f>
        <v>0.27375497450619879</v>
      </c>
    </row>
    <row r="43" spans="1:17" s="5" customFormat="1" ht="12" x14ac:dyDescent="0.2">
      <c r="A43" s="9">
        <v>40725</v>
      </c>
      <c r="B43" s="13">
        <v>6846598</v>
      </c>
      <c r="C43" s="13">
        <v>2694067</v>
      </c>
      <c r="D43" s="33">
        <f>SUM(B43:C43)</f>
        <v>9540665</v>
      </c>
      <c r="O43" s="38">
        <f>(B43-'FY2010'!B33)/'FY2010'!B33</f>
        <v>0.31355725552289537</v>
      </c>
      <c r="P43" s="38">
        <f>(C43-'FY2010'!C33)/'FY2010'!C33</f>
        <v>4.0151795066621726E-2</v>
      </c>
      <c r="Q43" s="38">
        <f>(D43-'FY2010'!D33)/'FY2010'!D33</f>
        <v>0.22279722154721002</v>
      </c>
    </row>
    <row r="44" spans="1:17" s="5" customFormat="1" ht="12" x14ac:dyDescent="0.2">
      <c r="A44" s="9">
        <v>40756</v>
      </c>
      <c r="B44" s="13">
        <v>6570270</v>
      </c>
      <c r="C44" s="13">
        <v>2701393</v>
      </c>
      <c r="D44" s="33">
        <f>SUM(B44:C44)</f>
        <v>9271663</v>
      </c>
      <c r="O44" s="38">
        <f>(B44-'FY2010'!B34)/'FY2010'!B34</f>
        <v>0.31911067887640482</v>
      </c>
      <c r="P44" s="38">
        <f>(C44-'FY2010'!C34)/'FY2010'!C34</f>
        <v>4.1071041123838602E-2</v>
      </c>
      <c r="Q44" s="38">
        <f>(D44-'FY2010'!D34)/'FY2010'!D34</f>
        <v>0.2238762488360741</v>
      </c>
    </row>
    <row r="45" spans="1:17" s="5" customFormat="1" ht="12" x14ac:dyDescent="0.2">
      <c r="A45" s="9">
        <v>40787</v>
      </c>
      <c r="B45" s="13">
        <v>6195641</v>
      </c>
      <c r="C45" s="13">
        <v>2747644</v>
      </c>
      <c r="D45" s="33">
        <f>SUM(B45:C45)</f>
        <v>8943285</v>
      </c>
      <c r="O45" s="38">
        <f>(B45-'FY2010'!B35)/'FY2010'!B35</f>
        <v>0.17051981950732542</v>
      </c>
      <c r="P45" s="38">
        <f>(C45-'FY2010'!C35)/'FY2010'!C35</f>
        <v>4.499658278354244E-2</v>
      </c>
      <c r="Q45" s="38">
        <f>(D45-'FY2010'!D35)/'FY2010'!D35</f>
        <v>0.12886043006406769</v>
      </c>
    </row>
    <row r="46" spans="1:17" s="6" customFormat="1" ht="12" x14ac:dyDescent="0.2">
      <c r="A46" s="11" t="s">
        <v>8</v>
      </c>
      <c r="B46" s="40">
        <f>SUM(B34:B45)</f>
        <v>72105905</v>
      </c>
      <c r="C46" s="40">
        <f>SUM(C34:C45)</f>
        <v>32157444</v>
      </c>
      <c r="D46" s="40">
        <f>SUM(D34:D45)</f>
        <v>104263349</v>
      </c>
      <c r="O46" s="39">
        <f>(B46-'FY2010'!B36)/'FY2010'!B36</f>
        <v>0.29898569775337652</v>
      </c>
      <c r="P46" s="39">
        <f>(C46-'FY2010'!C36)/'FY2010'!C36</f>
        <v>4.8207081162514938E-2</v>
      </c>
      <c r="Q46" s="39">
        <f>(D46-'FY2010'!D36)/'FY2010'!D36</f>
        <v>0.20972124014651566</v>
      </c>
    </row>
    <row r="47" spans="1:17" s="6" customFormat="1" ht="12" x14ac:dyDescent="0.2">
      <c r="A47" s="17"/>
      <c r="B47" s="85"/>
      <c r="C47" s="85"/>
      <c r="D47" s="85"/>
      <c r="O47" s="51"/>
      <c r="P47" s="51"/>
      <c r="Q47" s="51"/>
    </row>
    <row r="48" spans="1:17" s="6" customFormat="1" ht="12" x14ac:dyDescent="0.2">
      <c r="A48" s="17"/>
      <c r="B48" s="17"/>
      <c r="C48" s="17"/>
      <c r="D48" s="17"/>
      <c r="O48" s="18"/>
      <c r="P48" s="18"/>
      <c r="Q48" s="18"/>
    </row>
    <row r="49" spans="1:17" s="6" customFormat="1" x14ac:dyDescent="0.2">
      <c r="A49" s="5"/>
      <c r="B49" s="202" t="s">
        <v>29</v>
      </c>
      <c r="C49" s="202"/>
      <c r="D49" s="202"/>
      <c r="O49" s="203" t="s">
        <v>29</v>
      </c>
      <c r="P49" s="203"/>
      <c r="Q49" s="203"/>
    </row>
    <row r="50" spans="1:17" s="6" customFormat="1" ht="36" x14ac:dyDescent="0.2">
      <c r="A50" s="11" t="s">
        <v>1</v>
      </c>
      <c r="B50" s="12" t="s">
        <v>2</v>
      </c>
      <c r="C50" s="12" t="s">
        <v>3</v>
      </c>
      <c r="D50" s="12" t="s">
        <v>4</v>
      </c>
      <c r="O50" s="8" t="s">
        <v>9</v>
      </c>
      <c r="P50" s="8" t="s">
        <v>10</v>
      </c>
      <c r="Q50" s="8" t="s">
        <v>11</v>
      </c>
    </row>
    <row r="51" spans="1:17" s="6" customFormat="1" ht="12" x14ac:dyDescent="0.2">
      <c r="A51" s="9">
        <v>40452</v>
      </c>
      <c r="B51" s="86">
        <f t="shared" ref="B51:D61" si="2">B18/B34</f>
        <v>117.94980015050862</v>
      </c>
      <c r="C51" s="86">
        <f t="shared" si="2"/>
        <v>74.694063147862266</v>
      </c>
      <c r="D51" s="86">
        <f t="shared" si="2"/>
        <v>103.47520171841063</v>
      </c>
      <c r="O51" s="38">
        <f>(B51-'FY2010'!B41)/'FY2010'!B41</f>
        <v>-7.4014559787947937E-2</v>
      </c>
      <c r="P51" s="38">
        <f>(C51-'FY2010'!C41)/'FY2010'!C41</f>
        <v>-2.394206488167664E-2</v>
      </c>
      <c r="Q51" s="38">
        <f>(D51-'FY2010'!D41)/'FY2010'!D41</f>
        <v>-5.2114899805168056E-2</v>
      </c>
    </row>
    <row r="52" spans="1:17" s="6" customFormat="1" ht="12" x14ac:dyDescent="0.2">
      <c r="A52" s="9">
        <v>40483</v>
      </c>
      <c r="B52" s="86">
        <f t="shared" si="2"/>
        <v>108.14084366073983</v>
      </c>
      <c r="C52" s="86">
        <f t="shared" si="2"/>
        <v>74.700265331452968</v>
      </c>
      <c r="D52" s="86">
        <f t="shared" si="2"/>
        <v>97.004370379527415</v>
      </c>
      <c r="O52" s="38">
        <f>(B52-'FY2010'!B42)/'FY2010'!B42</f>
        <v>-0.15544358565790467</v>
      </c>
      <c r="P52" s="38">
        <f>(C52-'FY2010'!C42)/'FY2010'!C42</f>
        <v>-3.6174174108877528E-2</v>
      </c>
      <c r="Q52" s="38">
        <f>(D52-'FY2010'!D42)/'FY2010'!D42</f>
        <v>-0.1087898592020842</v>
      </c>
    </row>
    <row r="53" spans="1:17" s="6" customFormat="1" ht="12" x14ac:dyDescent="0.2">
      <c r="A53" s="9">
        <v>40513</v>
      </c>
      <c r="B53" s="86">
        <f t="shared" si="2"/>
        <v>116.75032527006751</v>
      </c>
      <c r="C53" s="86">
        <f t="shared" si="2"/>
        <v>76.953366410678626</v>
      </c>
      <c r="D53" s="86">
        <f t="shared" si="2"/>
        <v>103.77039244260077</v>
      </c>
      <c r="O53" s="38">
        <f>(B53-'FY2010'!B43)/'FY2010'!B43</f>
        <v>-9.313399979761855E-2</v>
      </c>
      <c r="P53" s="38">
        <f>(C53-'FY2010'!C43)/'FY2010'!C43</f>
        <v>-1.4785822643544947E-2</v>
      </c>
      <c r="Q53" s="38">
        <f>(D53-'FY2010'!D43)/'FY2010'!D43</f>
        <v>-6.1010985097224441E-2</v>
      </c>
    </row>
    <row r="54" spans="1:17" s="6" customFormat="1" ht="12" x14ac:dyDescent="0.2">
      <c r="A54" s="9">
        <v>40544</v>
      </c>
      <c r="B54" s="86">
        <f t="shared" si="2"/>
        <v>104.64912960165499</v>
      </c>
      <c r="C54" s="86">
        <f t="shared" si="2"/>
        <v>75.075288726223746</v>
      </c>
      <c r="D54" s="86">
        <f t="shared" si="2"/>
        <v>95.016192708692614</v>
      </c>
      <c r="O54" s="38">
        <f>(B54-'FY2010'!B44)/'FY2010'!B44</f>
        <v>-0.15263334752338797</v>
      </c>
      <c r="P54" s="38">
        <f>(C54-'FY2010'!C44)/'FY2010'!C44</f>
        <v>-4.2013102852312224E-2</v>
      </c>
      <c r="Q54" s="38">
        <f>(D54-'FY2010'!D44)/'FY2010'!D44</f>
        <v>-0.10684066013229514</v>
      </c>
    </row>
    <row r="55" spans="1:17" s="6" customFormat="1" ht="12" x14ac:dyDescent="0.2">
      <c r="A55" s="9">
        <v>40575</v>
      </c>
      <c r="B55" s="86">
        <f t="shared" si="2"/>
        <v>103.17269576832263</v>
      </c>
      <c r="C55" s="86">
        <f t="shared" si="2"/>
        <v>74.848142617174119</v>
      </c>
      <c r="D55" s="86">
        <f t="shared" si="2"/>
        <v>94.390387150305116</v>
      </c>
      <c r="O55" s="38">
        <f>(B55-'FY2010'!B45)/'FY2010'!B45</f>
        <v>-0.12793817842290228</v>
      </c>
      <c r="P55" s="38">
        <f>(C55-'FY2010'!C45)/'FY2010'!C45</f>
        <v>-3.8080056672869948E-2</v>
      </c>
      <c r="Q55" s="38">
        <f>(D55-'FY2010'!D45)/'FY2010'!D45</f>
        <v>-8.6445238255773924E-2</v>
      </c>
    </row>
    <row r="56" spans="1:17" s="6" customFormat="1" ht="12" x14ac:dyDescent="0.2">
      <c r="A56" s="9">
        <v>40603</v>
      </c>
      <c r="B56" s="86">
        <f t="shared" si="2"/>
        <v>103.34002475839274</v>
      </c>
      <c r="C56" s="86">
        <f t="shared" si="2"/>
        <v>73.097539944886577</v>
      </c>
      <c r="D56" s="86">
        <f t="shared" si="2"/>
        <v>94.230676238654965</v>
      </c>
      <c r="O56" s="38">
        <f>(B56-'FY2010'!B46)/'FY2010'!B46</f>
        <v>-0.14848677698230789</v>
      </c>
      <c r="P56" s="38">
        <f>(C56-'FY2010'!C46)/'FY2010'!C46</f>
        <v>-2.5672570050871847E-2</v>
      </c>
      <c r="Q56" s="38">
        <f>(D56-'FY2010'!D46)/'FY2010'!D46</f>
        <v>-9.8955075589830632E-2</v>
      </c>
    </row>
    <row r="57" spans="1:17" s="6" customFormat="1" ht="12" x14ac:dyDescent="0.2">
      <c r="A57" s="9">
        <v>40634</v>
      </c>
      <c r="B57" s="86">
        <f t="shared" si="2"/>
        <v>108.58253865644565</v>
      </c>
      <c r="C57" s="86">
        <f t="shared" si="2"/>
        <v>74.291772227570604</v>
      </c>
      <c r="D57" s="86">
        <f t="shared" si="2"/>
        <v>97.990953023551072</v>
      </c>
      <c r="O57" s="38">
        <f>(B57-'FY2010'!B47)/'FY2010'!B47</f>
        <v>-8.4357213304078707E-2</v>
      </c>
      <c r="P57" s="38">
        <f>(C57-'FY2010'!C47)/'FY2010'!C47</f>
        <v>2.1283531317336673E-3</v>
      </c>
      <c r="Q57" s="38">
        <f>(D57-'FY2010'!D47)/'FY2010'!D47</f>
        <v>-4.3995460339605628E-2</v>
      </c>
    </row>
    <row r="58" spans="1:17" s="6" customFormat="1" ht="12" x14ac:dyDescent="0.2">
      <c r="A58" s="9">
        <v>40664</v>
      </c>
      <c r="B58" s="86">
        <f t="shared" si="2"/>
        <v>107.75404068824753</v>
      </c>
      <c r="C58" s="86">
        <f t="shared" si="2"/>
        <v>73.889229022099443</v>
      </c>
      <c r="D58" s="86">
        <f t="shared" si="2"/>
        <v>97.450809880460881</v>
      </c>
      <c r="O58" s="38">
        <f>(B58-'FY2010'!B48)/'FY2010'!B48</f>
        <v>-9.1568876023217657E-2</v>
      </c>
      <c r="P58" s="38">
        <f>(C58-'FY2010'!C48)/'FY2010'!C48</f>
        <v>-2.3596165612047738E-2</v>
      </c>
      <c r="Q58" s="38">
        <f>(D58-'FY2010'!D48)/'FY2010'!D48</f>
        <v>-5.3956246556316402E-2</v>
      </c>
    </row>
    <row r="59" spans="1:17" s="6" customFormat="1" ht="12" x14ac:dyDescent="0.2">
      <c r="A59" s="9">
        <v>40695</v>
      </c>
      <c r="B59" s="86">
        <f t="shared" si="2"/>
        <v>109.49560837238501</v>
      </c>
      <c r="C59" s="86">
        <f t="shared" si="2"/>
        <v>72.608130704620123</v>
      </c>
      <c r="D59" s="86">
        <f t="shared" si="2"/>
        <v>98.87735712109027</v>
      </c>
      <c r="O59" s="38">
        <f>(B59-'FY2010'!B49)/'FY2010'!B49</f>
        <v>-9.9092121749579279E-2</v>
      </c>
      <c r="P59" s="38">
        <f>(C59-'FY2010'!C49)/'FY2010'!C49</f>
        <v>1.1085639971053957E-2</v>
      </c>
      <c r="Q59" s="38">
        <f>(D59-'FY2010'!D49)/'FY2010'!D49</f>
        <v>-5.4817048271393609E-2</v>
      </c>
    </row>
    <row r="60" spans="1:17" s="6" customFormat="1" ht="12" x14ac:dyDescent="0.2">
      <c r="A60" s="9">
        <v>40725</v>
      </c>
      <c r="B60" s="86">
        <f t="shared" si="2"/>
        <v>106.39337916436747</v>
      </c>
      <c r="C60" s="86">
        <f t="shared" si="2"/>
        <v>74.974760464383408</v>
      </c>
      <c r="D60" s="86">
        <f t="shared" si="2"/>
        <v>97.521475180189228</v>
      </c>
      <c r="O60" s="38">
        <f>(B60-'FY2010'!B50)/'FY2010'!B50</f>
        <v>-0.12915779424265073</v>
      </c>
      <c r="P60" s="38">
        <f>(C60-'FY2010'!C50)/'FY2010'!C50</f>
        <v>8.1333146949465057E-3</v>
      </c>
      <c r="Q60" s="38">
        <f>(D60-'FY2010'!D50)/'FY2010'!D50</f>
        <v>-8.2618763009816354E-2</v>
      </c>
    </row>
    <row r="61" spans="1:17" s="6" customFormat="1" ht="12" x14ac:dyDescent="0.2">
      <c r="A61" s="9">
        <v>40756</v>
      </c>
      <c r="B61" s="86">
        <f t="shared" si="2"/>
        <v>103.10412311822802</v>
      </c>
      <c r="C61" s="86">
        <f t="shared" si="2"/>
        <v>73.221295087386395</v>
      </c>
      <c r="D61" s="86">
        <f t="shared" si="2"/>
        <v>94.39745825533133</v>
      </c>
      <c r="O61" s="38">
        <f>(B61-'FY2010'!B51)/'FY2010'!B51</f>
        <v>-0.18575096609849395</v>
      </c>
      <c r="P61" s="38">
        <f>(C61-'FY2010'!C51)/'FY2010'!C51</f>
        <v>-8.4147464010504713E-3</v>
      </c>
      <c r="Q61" s="38">
        <f>(D61-'FY2010'!D51)/'FY2010'!D51</f>
        <v>-0.1303445077322106</v>
      </c>
    </row>
    <row r="62" spans="1:17" s="6" customFormat="1" ht="12" x14ac:dyDescent="0.2">
      <c r="A62" s="9">
        <v>40787</v>
      </c>
      <c r="B62" s="86">
        <f t="shared" ref="B62:D63" si="3">B29/B45</f>
        <v>107.68393004049138</v>
      </c>
      <c r="C62" s="86">
        <f t="shared" si="3"/>
        <v>74.664125337925867</v>
      </c>
      <c r="D62" s="86">
        <f t="shared" si="3"/>
        <v>97.539260797346842</v>
      </c>
      <c r="O62" s="38">
        <f>(B62-'FY2010'!B52)/'FY2010'!B52</f>
        <v>-6.1763161640184597E-2</v>
      </c>
      <c r="P62" s="38">
        <f>(C62-'FY2010'!C52)/'FY2010'!C52</f>
        <v>1.4125303386997535E-2</v>
      </c>
      <c r="Q62" s="38">
        <f>(D62-'FY2010'!D52)/'FY2010'!D52</f>
        <v>-3.5373102436770526E-2</v>
      </c>
    </row>
    <row r="63" spans="1:17" s="6" customFormat="1" ht="12" x14ac:dyDescent="0.2">
      <c r="A63" s="11" t="s">
        <v>8</v>
      </c>
      <c r="B63" s="87">
        <f t="shared" si="3"/>
        <v>107.93333620554377</v>
      </c>
      <c r="C63" s="87">
        <f t="shared" si="3"/>
        <v>74.411806965441656</v>
      </c>
      <c r="D63" s="87">
        <f t="shared" si="3"/>
        <v>97.594451931521959</v>
      </c>
      <c r="O63" s="39">
        <f>(B63-'FY2010'!B53)/'FY2010'!B53</f>
        <v>-0.11779313787468786</v>
      </c>
      <c r="P63" s="39">
        <f>(C63-'FY2010'!C53)/'FY2010'!C53</f>
        <v>-1.5024080601746998E-2</v>
      </c>
      <c r="Q63" s="39">
        <f>(D63-'FY2010'!D53)/'FY2010'!D53</f>
        <v>-7.6571199833071354E-2</v>
      </c>
    </row>
    <row r="64" spans="1:17" s="6" customFormat="1" ht="12" x14ac:dyDescent="0.2">
      <c r="A64" s="17"/>
      <c r="B64" s="84"/>
      <c r="C64" s="84"/>
      <c r="D64" s="84"/>
      <c r="O64" s="18"/>
      <c r="P64" s="18"/>
      <c r="Q64" s="18"/>
    </row>
    <row r="65" spans="1:17" s="5" customFormat="1" ht="12" x14ac:dyDescent="0.2"/>
    <row r="66" spans="1:17" s="5" customFormat="1" x14ac:dyDescent="0.2">
      <c r="B66" s="202" t="s">
        <v>7</v>
      </c>
      <c r="C66" s="202"/>
      <c r="D66" s="202"/>
      <c r="O66" s="203" t="s">
        <v>7</v>
      </c>
      <c r="P66" s="203"/>
      <c r="Q66" s="203"/>
    </row>
    <row r="67" spans="1:17" s="5" customFormat="1" ht="36" x14ac:dyDescent="0.2">
      <c r="A67" s="11" t="s">
        <v>1</v>
      </c>
      <c r="B67" s="12" t="s">
        <v>2</v>
      </c>
      <c r="C67" s="12" t="s">
        <v>50</v>
      </c>
      <c r="D67" s="12" t="s">
        <v>4</v>
      </c>
      <c r="O67" s="8" t="s">
        <v>9</v>
      </c>
      <c r="P67" s="8" t="s">
        <v>10</v>
      </c>
      <c r="Q67" s="8" t="s">
        <v>11</v>
      </c>
    </row>
    <row r="68" spans="1:17" s="5" customFormat="1" ht="12" x14ac:dyDescent="0.2">
      <c r="A68" s="9">
        <v>40452</v>
      </c>
      <c r="B68" s="41">
        <f>7674566.29999996+489400.39+2590221.59</f>
        <v>10754188.27999996</v>
      </c>
      <c r="C68" s="41">
        <v>869767.96</v>
      </c>
      <c r="D68" s="41">
        <f t="shared" ref="D68:D74" si="4">SUM(B68:C68)</f>
        <v>11623956.239999961</v>
      </c>
      <c r="O68" s="38">
        <f>(B68-'FY2010'!B59)/'FY2010'!B59</f>
        <v>0.10587490601564049</v>
      </c>
      <c r="P68" s="38">
        <f>(C68-'FY2010'!C59)/'FY2010'!C59</f>
        <v>0.31903870171479681</v>
      </c>
      <c r="Q68" s="38">
        <f>(D68-'FY2010'!D59)/'FY2010'!D59</f>
        <v>0.11941104905063783</v>
      </c>
    </row>
    <row r="69" spans="1:17" s="5" customFormat="1" ht="12" x14ac:dyDescent="0.2">
      <c r="A69" s="9">
        <v>40483</v>
      </c>
      <c r="B69" s="43">
        <f>6641240+432511.64+2155893.73</f>
        <v>9229645.3699999992</v>
      </c>
      <c r="C69" s="41">
        <v>816758.36</v>
      </c>
      <c r="D69" s="41">
        <f t="shared" si="4"/>
        <v>10046403.729999999</v>
      </c>
      <c r="O69" s="38">
        <f>(B69-'FY2010'!B60)/'FY2010'!B60</f>
        <v>7.6441791703829157E-2</v>
      </c>
      <c r="P69" s="38">
        <f>(C69-'FY2010'!C60)/'FY2010'!C60</f>
        <v>0.34068242474515098</v>
      </c>
      <c r="Q69" s="38">
        <f>(D69-'FY2010'!D60)/'FY2010'!D60</f>
        <v>9.397100632504754E-2</v>
      </c>
    </row>
    <row r="70" spans="1:17" s="5" customFormat="1" ht="12" x14ac:dyDescent="0.2">
      <c r="A70" s="9">
        <v>40513</v>
      </c>
      <c r="B70" s="43">
        <f>7616066+504634+2486698.27</f>
        <v>10607398.27</v>
      </c>
      <c r="C70" s="43">
        <v>859992.62</v>
      </c>
      <c r="D70" s="41">
        <f t="shared" si="4"/>
        <v>11467390.889999999</v>
      </c>
      <c r="O70" s="38">
        <f>(B70-'FY2010'!B61)/'FY2010'!B61</f>
        <v>0.11607880901911852</v>
      </c>
      <c r="P70" s="38">
        <f>(C70-'FY2010'!C61)/'FY2010'!C61</f>
        <v>0.30286633052426876</v>
      </c>
      <c r="Q70" s="38">
        <f>(D70-'FY2010'!D61)/'FY2010'!D61</f>
        <v>0.12820900078012676</v>
      </c>
    </row>
    <row r="71" spans="1:17" s="5" customFormat="1" ht="12" x14ac:dyDescent="0.2">
      <c r="A71" s="9">
        <v>40544</v>
      </c>
      <c r="B71" s="43">
        <f>6743567+424636.86+2136035</f>
        <v>9304238.8599999994</v>
      </c>
      <c r="C71" s="43">
        <v>816883.41</v>
      </c>
      <c r="D71" s="41">
        <f t="shared" si="4"/>
        <v>10121122.27</v>
      </c>
      <c r="O71" s="38">
        <f>(B71-'FY2010'!B62)/'FY2010'!B62</f>
        <v>0.10339191613692912</v>
      </c>
      <c r="P71" s="38">
        <f>(C71-'FY2010'!C62)/'FY2010'!C62</f>
        <v>0.28314555265819646</v>
      </c>
      <c r="Q71" s="38">
        <f>(D71-'FY2010'!D62)/'FY2010'!D62</f>
        <v>0.11601023049138111</v>
      </c>
    </row>
    <row r="72" spans="1:17" s="5" customFormat="1" ht="12" x14ac:dyDescent="0.2">
      <c r="A72" s="9">
        <v>40575</v>
      </c>
      <c r="B72" s="43">
        <f>6731886+431379+2005002</f>
        <v>9168267</v>
      </c>
      <c r="C72" s="43">
        <v>831121</v>
      </c>
      <c r="D72" s="41">
        <f t="shared" si="4"/>
        <v>9999388</v>
      </c>
      <c r="O72" s="38">
        <f>(B72-'FY2010'!B63)/'FY2010'!B63</f>
        <v>0.16851204113532015</v>
      </c>
      <c r="P72" s="38">
        <f>(C72-'FY2010'!C63)/'FY2010'!C63</f>
        <v>0.36874700084658918</v>
      </c>
      <c r="Q72" s="38">
        <f>(D72-'FY2010'!D63)/'FY2010'!D63</f>
        <v>0.18289518497201712</v>
      </c>
    </row>
    <row r="73" spans="1:17" s="5" customFormat="1" ht="12" x14ac:dyDescent="0.2">
      <c r="A73" s="9">
        <v>40603</v>
      </c>
      <c r="B73" s="43">
        <f>7917785+493332+2393755.03</f>
        <v>10804872.029999999</v>
      </c>
      <c r="C73" s="43">
        <v>946350.06</v>
      </c>
      <c r="D73" s="41">
        <f t="shared" si="4"/>
        <v>11751222.09</v>
      </c>
      <c r="O73" s="38">
        <f>(B73-'FY2010'!B64)/'FY2010'!B64</f>
        <v>0.17675057798142349</v>
      </c>
      <c r="P73" s="38">
        <f>(C73-'FY2010'!C64)/'FY2010'!C64</f>
        <v>0.4197841367146643</v>
      </c>
      <c r="Q73" s="38">
        <f>(D73-'FY2010'!D64)/'FY2010'!D64</f>
        <v>0.19319905173427196</v>
      </c>
    </row>
    <row r="74" spans="1:17" s="5" customFormat="1" ht="12" x14ac:dyDescent="0.2">
      <c r="A74" s="9">
        <v>40634</v>
      </c>
      <c r="B74" s="43">
        <f>7995958+508755+2534606</f>
        <v>11039319</v>
      </c>
      <c r="C74" s="43">
        <v>926955</v>
      </c>
      <c r="D74" s="41">
        <f t="shared" si="4"/>
        <v>11966274</v>
      </c>
      <c r="O74" s="38">
        <f>(B74-'FY2010'!B65)/'FY2010'!B65</f>
        <v>0.21895344403747585</v>
      </c>
      <c r="P74" s="38">
        <f>(C74-'FY2010'!C65)/'FY2010'!C65</f>
        <v>0.26989182791102928</v>
      </c>
      <c r="Q74" s="38">
        <f>(D74-'FY2010'!D65)/'FY2010'!D65</f>
        <v>0.22275285987947077</v>
      </c>
    </row>
    <row r="75" spans="1:17" s="5" customFormat="1" ht="12" x14ac:dyDescent="0.2">
      <c r="A75" s="9">
        <v>40664</v>
      </c>
      <c r="B75" s="43">
        <f>8251306+512775+2479923</f>
        <v>11244004</v>
      </c>
      <c r="C75" s="43">
        <v>884044</v>
      </c>
      <c r="D75" s="41">
        <f>SUM(B75:C75)</f>
        <v>12128048</v>
      </c>
      <c r="O75" s="38">
        <f>(B75-'FY2010'!B66)/'FY2010'!B66</f>
        <v>0.18705035238296128</v>
      </c>
      <c r="P75" s="38">
        <f>(C75-'FY2010'!C66)/'FY2010'!C66</f>
        <v>7.2939011623307654E-2</v>
      </c>
      <c r="Q75" s="38">
        <f>(D75-'FY2010'!D66)/'FY2010'!D66</f>
        <v>0.17791864384525546</v>
      </c>
    </row>
    <row r="76" spans="1:17" s="5" customFormat="1" ht="12" x14ac:dyDescent="0.2">
      <c r="A76" s="9">
        <v>40695</v>
      </c>
      <c r="B76" s="43">
        <f>8858958+536475+2633031</f>
        <v>12028464</v>
      </c>
      <c r="C76" s="43">
        <v>881759</v>
      </c>
      <c r="D76" s="41">
        <f>SUM(B76:C76)</f>
        <v>12910223</v>
      </c>
      <c r="O76" s="38">
        <f>(B76-'FY2010'!B67)/'FY2010'!B67</f>
        <v>0.21785672774075029</v>
      </c>
      <c r="P76" s="38">
        <f>(C76-'FY2010'!C67)/'FY2010'!C67</f>
        <v>0.14476987990912041</v>
      </c>
      <c r="Q76" s="38">
        <f>(D76-'FY2010'!D67)/'FY2010'!D67</f>
        <v>0.21256930826886603</v>
      </c>
    </row>
    <row r="77" spans="1:17" s="5" customFormat="1" ht="12" x14ac:dyDescent="0.2">
      <c r="A77" s="9">
        <v>40725</v>
      </c>
      <c r="B77" s="43">
        <f>8924053+564547+2679584.85</f>
        <v>12168184.85</v>
      </c>
      <c r="C77" s="43">
        <v>897184</v>
      </c>
      <c r="D77" s="41">
        <f>SUM(B77:C77)</f>
        <v>13065368.85</v>
      </c>
      <c r="O77" s="38">
        <f>(B77-'FY2010'!B68)/'FY2010'!B68</f>
        <v>0.14002374919708616</v>
      </c>
      <c r="P77" s="38">
        <f>(C77-'FY2010'!C68)/'FY2010'!C68</f>
        <v>9.1620096777765211E-2</v>
      </c>
      <c r="Q77" s="38">
        <f>(D77-'FY2010'!D68)/'FY2010'!D68</f>
        <v>0.13656308068882908</v>
      </c>
    </row>
    <row r="78" spans="1:17" s="5" customFormat="1" ht="12" x14ac:dyDescent="0.2">
      <c r="A78" s="9">
        <v>40756</v>
      </c>
      <c r="B78" s="43">
        <f>8431038+2440775+479576</f>
        <v>11351389</v>
      </c>
      <c r="C78" s="43">
        <v>898622</v>
      </c>
      <c r="D78" s="41">
        <f>SUM(B78:C78)</f>
        <v>12250011</v>
      </c>
      <c r="O78" s="38">
        <f>(B78-'FY2010'!B69)/'FY2010'!B69</f>
        <v>7.2556311764833722E-2</v>
      </c>
      <c r="P78" s="38">
        <f>(C78-'FY2010'!C69)/'FY2010'!C69</f>
        <v>0.11817860555865255</v>
      </c>
      <c r="Q78" s="38">
        <f>(D78-'FY2010'!D69)/'FY2010'!D69</f>
        <v>7.5776108096696465E-2</v>
      </c>
    </row>
    <row r="79" spans="1:17" s="5" customFormat="1" ht="12" x14ac:dyDescent="0.2">
      <c r="A79" s="9">
        <v>40787</v>
      </c>
      <c r="B79" s="43">
        <f>8133913.9+470382.83+2607188.89</f>
        <v>11211485.620000001</v>
      </c>
      <c r="C79" s="43">
        <v>931889.7</v>
      </c>
      <c r="D79" s="41">
        <f>SUM(B79:C79)</f>
        <v>12143375.32</v>
      </c>
      <c r="O79" s="38">
        <f>(B79-'FY2010'!B70)/'FY2010'!B70</f>
        <v>0.1019795180849604</v>
      </c>
      <c r="P79" s="38">
        <f>(C79-'FY2010'!C70)/'FY2010'!C70</f>
        <v>0.12636848212343166</v>
      </c>
      <c r="Q79" s="38">
        <f>(D79-'FY2010'!D70)/'FY2010'!D70</f>
        <v>0.1038136633236954</v>
      </c>
    </row>
    <row r="80" spans="1:17" s="6" customFormat="1" ht="12" x14ac:dyDescent="0.2">
      <c r="A80" s="11" t="s">
        <v>8</v>
      </c>
      <c r="B80" s="42">
        <f>SUM(B68:B79)</f>
        <v>128911456.27999996</v>
      </c>
      <c r="C80" s="42">
        <f>SUM(C68:C79)</f>
        <v>10561327.109999999</v>
      </c>
      <c r="D80" s="42">
        <f>SUM(D68:D79)</f>
        <v>139472783.38999996</v>
      </c>
      <c r="O80" s="39">
        <f>(B80-'FY2010'!B71)/'FY2010'!B71</f>
        <v>0.13980205430324683</v>
      </c>
      <c r="P80" s="39">
        <f>(C80-'FY2010'!C71)/'FY2010'!C71</f>
        <v>0.22576902539077906</v>
      </c>
      <c r="Q80" s="39">
        <f>(D80-'FY2010'!D71)/'FY2010'!D71</f>
        <v>0.14588752252706733</v>
      </c>
    </row>
    <row r="81" spans="1:17" s="6" customFormat="1" ht="12" x14ac:dyDescent="0.2">
      <c r="A81" s="80" t="s">
        <v>51</v>
      </c>
      <c r="B81" s="76"/>
      <c r="C81" s="76"/>
      <c r="D81" s="76"/>
      <c r="O81" s="51"/>
      <c r="P81" s="51"/>
      <c r="Q81" s="51"/>
    </row>
    <row r="82" spans="1:17" s="6" customFormat="1" ht="12" x14ac:dyDescent="0.2">
      <c r="A82" s="17"/>
      <c r="B82" s="17"/>
      <c r="C82" s="17"/>
      <c r="D82" s="17"/>
      <c r="O82" s="18"/>
      <c r="P82" s="18"/>
      <c r="Q82" s="18"/>
    </row>
    <row r="83" spans="1:17" s="5" customFormat="1" x14ac:dyDescent="0.2">
      <c r="A83" s="19"/>
      <c r="B83" s="208" t="s">
        <v>20</v>
      </c>
      <c r="C83" s="208"/>
      <c r="D83" s="208"/>
      <c r="E83" s="19"/>
      <c r="O83" s="209" t="s">
        <v>20</v>
      </c>
      <c r="P83" s="209"/>
      <c r="Q83" s="209"/>
    </row>
    <row r="84" spans="1:17" s="5" customFormat="1" ht="36" x14ac:dyDescent="0.2">
      <c r="A84" s="15" t="s">
        <v>1</v>
      </c>
      <c r="B84" s="20" t="s">
        <v>2</v>
      </c>
      <c r="C84" s="72" t="s">
        <v>3</v>
      </c>
      <c r="D84" s="24"/>
      <c r="E84" s="19"/>
      <c r="O84" s="8" t="s">
        <v>9</v>
      </c>
      <c r="P84" s="25"/>
      <c r="Q84" s="25"/>
    </row>
    <row r="85" spans="1:17" s="5" customFormat="1" ht="12" x14ac:dyDescent="0.2">
      <c r="A85" s="14">
        <v>40452</v>
      </c>
      <c r="B85" s="43">
        <v>650582.87</v>
      </c>
      <c r="C85" s="82"/>
      <c r="D85" s="44"/>
      <c r="E85" s="19"/>
      <c r="O85" s="38">
        <f>(B85-'FY2010'!B75)/'FY2010'!B75</f>
        <v>0.28030052864855109</v>
      </c>
      <c r="P85" s="26"/>
      <c r="Q85" s="26"/>
    </row>
    <row r="86" spans="1:17" s="5" customFormat="1" ht="12" x14ac:dyDescent="0.2">
      <c r="A86" s="14">
        <v>40483</v>
      </c>
      <c r="B86" s="43">
        <f>560163.06+11.1+4721.41+162.13+16.8+1475.75+18055.73+94.62+48.33+1068.68+511.53</f>
        <v>586329.14000000013</v>
      </c>
      <c r="C86" s="82"/>
      <c r="D86" s="44"/>
      <c r="E86" s="19"/>
      <c r="O86" s="38">
        <f>(B86-'FY2010'!B76)/'FY2010'!B76</f>
        <v>0.28416665723063944</v>
      </c>
      <c r="P86" s="26"/>
      <c r="Q86" s="26"/>
    </row>
    <row r="87" spans="1:17" s="5" customFormat="1" ht="12" x14ac:dyDescent="0.2">
      <c r="A87" s="14">
        <v>40513</v>
      </c>
      <c r="B87" s="43">
        <v>660166.44999999995</v>
      </c>
      <c r="C87" s="82"/>
      <c r="D87" s="44"/>
      <c r="E87" s="19"/>
      <c r="O87" s="38">
        <f>(B87-'FY2010'!B77)/'FY2010'!B77</f>
        <v>0.31757708212656566</v>
      </c>
      <c r="P87" s="26"/>
      <c r="Q87" s="26"/>
    </row>
    <row r="88" spans="1:17" s="5" customFormat="1" ht="12" x14ac:dyDescent="0.2">
      <c r="A88" s="14">
        <v>40544</v>
      </c>
      <c r="B88" s="43">
        <f>577504.98+8.86+3170.77+139.37+14.47+1672.43+1876.66+101.11+51.75+982.24</f>
        <v>585522.64</v>
      </c>
      <c r="C88" s="82"/>
      <c r="D88" s="44"/>
      <c r="E88" s="19"/>
      <c r="O88" s="38">
        <f>(B88-'FY2010'!B78)/'FY2010'!B78</f>
        <v>0.21174746536755798</v>
      </c>
      <c r="P88" s="26"/>
      <c r="Q88" s="26"/>
    </row>
    <row r="89" spans="1:17" s="5" customFormat="1" ht="12" x14ac:dyDescent="0.2">
      <c r="A89" s="14">
        <v>40575</v>
      </c>
      <c r="B89" s="43">
        <f>582571.6+7.01+2625.51+103.62+10.86+1725.36+19653.48+104.98+54.23+1164.02</f>
        <v>608020.66999999993</v>
      </c>
      <c r="C89" s="78">
        <f>1354.05+30.03+321.86+13730.26+40.74+16.31+1659.42+9.18+443.85+9+479.85+24713.78+359.92+1.64+78.2+388.38+18739.65+180+51+130+182.44+6.72+422.64+16+144.02+2324.2+338.7+17371.98+90.92+1447.62+4.96+242.08+16.82+1815.37+2971.51+57.88+2927.83+56.88+110.72+0.91+2.27</f>
        <v>93289.59</v>
      </c>
      <c r="D89" s="44"/>
      <c r="E89" s="19"/>
      <c r="O89" s="38">
        <f>(B89-'FY2010'!B79)/'FY2010'!B79</f>
        <v>0.3894247031222553</v>
      </c>
      <c r="P89" s="26"/>
      <c r="Q89" s="26"/>
    </row>
    <row r="90" spans="1:17" s="5" customFormat="1" ht="12" x14ac:dyDescent="0.2">
      <c r="A90" s="14">
        <v>40603</v>
      </c>
      <c r="B90" s="43">
        <f>178237.62+91.5+43+3577.41+5246.83+80.29+654.98+117.95+34832.51+77380.55+0.04+382369.79+7101.39+344+225+3715.35+3485.7+260.76+4532.77</f>
        <v>702297.44</v>
      </c>
      <c r="C90" s="78">
        <f>2253.09+42.24+245.25+10938.13+53.2+15.73+1769.6+49.95+2524.86+6+503.41+27228.04+396.17+10.2+564.56+457.58+20964.23+30+213+280+220.06+6.48+397.44+10+12.83+174.56+3717.09+689.4+19310.76+116.1+1609.23+11.32+566.88+37.62+2266.46+668.01+12.68+5182.22+91.62+393.15+1515.83+26.88+4+5.73</f>
        <v>105591.58999999997</v>
      </c>
      <c r="D90" s="44"/>
      <c r="E90" s="19"/>
      <c r="O90" s="38">
        <f>(B90-'FY2010'!B80)/'FY2010'!B80</f>
        <v>0.39606253667336244</v>
      </c>
      <c r="P90" s="26"/>
      <c r="Q90" s="26"/>
    </row>
    <row r="91" spans="1:17" s="5" customFormat="1" ht="12" x14ac:dyDescent="0.2">
      <c r="A91" s="14">
        <v>40634</v>
      </c>
      <c r="B91" s="43">
        <v>693580</v>
      </c>
      <c r="C91" s="78">
        <f>2104.47+45.45+349.69+16214.07+51.59+17.65+1851.85+50.85+2538.09+6+489.55+26324.13+383.05+8.24+491.32+434.15+20872.3+15+50+187.7+7.56+493.16+4+655.4+255.6+5580.34+205.68+11773.92+40.54+981.16+9.96+537.12+35.4+1789.65+2059.66+38.45+2311.37+42.38+124.7+1445.44+24.25+2.98+20</f>
        <v>100923.86999999997</v>
      </c>
      <c r="D91" s="44"/>
      <c r="E91" s="19"/>
      <c r="O91" s="38">
        <f>(B91-'FY2010'!B81)/'FY2010'!B81</f>
        <v>0.34967478049055006</v>
      </c>
      <c r="P91" s="26"/>
      <c r="Q91" s="26"/>
    </row>
    <row r="92" spans="1:17" s="5" customFormat="1" ht="12" x14ac:dyDescent="0.2">
      <c r="A92" s="14">
        <v>40664</v>
      </c>
      <c r="B92" s="43">
        <f>110309.57+13.5+3281.96+129.96+13.5+2514.04+22398.31+130.11+67.12+1688.25+146493.58+40079.16+390680.22</f>
        <v>717799.28</v>
      </c>
      <c r="C92" s="78">
        <f>2174.55+50.43+489.69+22332.42+59.36+16.12+1781.92+15+775.68+3+480.87+25648.32+0.04+373.27+0.12+5.84+454.13+20137.55+30+18+10+111.41+10.76+685.72+8+358.41+137.87+3046.49+181.5+9399.24+25.99+783.27+7.24+252.52+16.97+1491.64+4840.62+91.81+4.55+0.13+3.14+2.7+0.03+2.61+10</f>
        <v>96328.930000000022</v>
      </c>
      <c r="D92" s="44"/>
      <c r="E92" s="19"/>
      <c r="O92" s="38">
        <f>(B92-'FY2010'!B82)/'FY2010'!B82</f>
        <v>0.32459879683570048</v>
      </c>
      <c r="P92" s="26"/>
      <c r="Q92" s="26"/>
    </row>
    <row r="93" spans="1:17" s="5" customFormat="1" ht="12" x14ac:dyDescent="0.2">
      <c r="A93" s="14">
        <v>40695</v>
      </c>
      <c r="B93" s="43">
        <f>112716.32+607733.26+15.23+3592.86+150.05+15.59+2211.09+23270.61+130.93+67.84+1587.89</f>
        <v>751491.67</v>
      </c>
      <c r="C93" s="78">
        <f>2178.33+47.7+420+18765.46+51.66+16.1+1748.6+16.02+754.38+6+528.89+25429.67+0.07+374.4+5.08+470.53+19934.15+30+78+20+126.63+28.68+663.64+734.81+312.13+6245.84+190.44+9383.52+37.83+781.96+7.52+240.36+18.03+1495.46+4853.16+98.8+4+0.26+3.61+3.12+2.59+10</f>
        <v>96117.430000000022</v>
      </c>
      <c r="D93" s="44"/>
      <c r="E93" s="19"/>
      <c r="O93" s="38">
        <f>(B93-'FY2010'!B83)/'FY2010'!B83</f>
        <v>0.38808724961140467</v>
      </c>
      <c r="P93" s="26"/>
      <c r="Q93" s="26"/>
    </row>
    <row r="94" spans="1:17" s="5" customFormat="1" ht="12" x14ac:dyDescent="0.2">
      <c r="A94" s="14">
        <v>40725</v>
      </c>
      <c r="B94" s="43">
        <f>115742.08+14.64+4446.94+181.79+18.9+1838.24+26608.56+141.38+73.19+1912.84+154873.14+45757.61+418441.65</f>
        <v>770050.96</v>
      </c>
      <c r="C94" s="78">
        <f>897184-22507.96-105740.6-4734.99-6206.75-247349.63-1-36.75-262978.91-4289.75-49875.63-46989.41-1948.6-46936.3-43.65-25.8</f>
        <v>97518.270000000077</v>
      </c>
      <c r="D94" s="44"/>
      <c r="E94" s="19"/>
      <c r="O94" s="38">
        <f>(B94-'FY2010'!B84)/'FY2010'!B84</f>
        <v>0.18202159748242974</v>
      </c>
      <c r="P94" s="26"/>
      <c r="Q94" s="26"/>
    </row>
    <row r="95" spans="1:17" s="5" customFormat="1" ht="12" x14ac:dyDescent="0.2">
      <c r="A95" s="14">
        <v>40756</v>
      </c>
      <c r="B95" s="43">
        <f>99435.22+17.58+6195.75+285.41+27.41+2812.47+36813.37+204.1+106+2381.87+144934.7+42445.78+393638.91</f>
        <v>729298.57000000007</v>
      </c>
      <c r="C95" s="78">
        <f>898622.41-22336.53-105433.6-4774.7-6001.6-245417.82-40.6-267072.97-4280-49878.66-46637.45-2030.57-46734.2-46.48-30.98</f>
        <v>97906.25000000016</v>
      </c>
      <c r="D95" s="44"/>
      <c r="E95" s="19"/>
      <c r="O95" s="38">
        <f>(B95-'FY2010'!B85)/'FY2010'!B85</f>
        <v>0.12497082096391339</v>
      </c>
      <c r="P95" s="26"/>
      <c r="Q95" s="26"/>
    </row>
    <row r="96" spans="1:17" s="5" customFormat="1" ht="12" x14ac:dyDescent="0.2">
      <c r="A96" s="14">
        <v>40787</v>
      </c>
      <c r="B96" s="43">
        <f>94876.27+22.91+6965.01+257.86+26.73+1966.4+33090.73+148.68+76.65+2122.27+560627.81</f>
        <v>700181.32000000007</v>
      </c>
      <c r="C96" s="78">
        <f>931889.7-23246.01-107724.4-4862.48-6084.93-241326.77-46.9-280705.24-23.03-4704.99-4230.25--139.43-51167.47-48649.49-819.37-2009.85-0.42-47587.93-0.52-75.55-30.35</f>
        <v>108733.17999999982</v>
      </c>
      <c r="D96" s="44"/>
      <c r="E96" s="19"/>
      <c r="O96" s="38">
        <f>(B96-'FY2010'!B86)/'FY2010'!B86</f>
        <v>0.11568922385316086</v>
      </c>
      <c r="P96" s="26"/>
      <c r="Q96" s="26"/>
    </row>
    <row r="97" spans="1:17" s="5" customFormat="1" ht="12" x14ac:dyDescent="0.2">
      <c r="A97" s="15" t="s">
        <v>8</v>
      </c>
      <c r="B97" s="45">
        <f>SUM(B85:B96)</f>
        <v>8155321.0100000007</v>
      </c>
      <c r="C97" s="79"/>
      <c r="D97" s="46"/>
      <c r="E97" s="19"/>
      <c r="O97" s="39">
        <f>(B97-'FY2010'!B87)/'FY2010'!B87</f>
        <v>0.27145849185533416</v>
      </c>
      <c r="P97" s="23"/>
      <c r="Q97" s="23"/>
    </row>
    <row r="98" spans="1:17" x14ac:dyDescent="0.2">
      <c r="A98" s="81" t="s">
        <v>52</v>
      </c>
      <c r="B98" s="21"/>
      <c r="C98" s="21"/>
      <c r="D98" s="21"/>
      <c r="E98" s="21"/>
    </row>
    <row r="99" spans="1:17" s="5" customFormat="1" ht="12" x14ac:dyDescent="0.2">
      <c r="A99" s="19"/>
      <c r="B99" s="19"/>
      <c r="C99" s="19"/>
      <c r="D99" s="19"/>
      <c r="E99" s="19"/>
    </row>
    <row r="100" spans="1:17" s="5" customFormat="1" x14ac:dyDescent="0.2">
      <c r="A100" s="19"/>
      <c r="B100" s="208" t="s">
        <v>46</v>
      </c>
      <c r="C100" s="208"/>
      <c r="D100" s="210"/>
      <c r="E100" s="19"/>
      <c r="O100" s="209" t="s">
        <v>47</v>
      </c>
      <c r="P100" s="209"/>
      <c r="Q100" s="209"/>
    </row>
    <row r="101" spans="1:17" s="5" customFormat="1" ht="12" x14ac:dyDescent="0.2">
      <c r="A101" s="15" t="s">
        <v>1</v>
      </c>
      <c r="B101" s="20" t="s">
        <v>48</v>
      </c>
      <c r="C101" s="20" t="s">
        <v>42</v>
      </c>
      <c r="D101" s="20" t="s">
        <v>7</v>
      </c>
      <c r="E101" s="19"/>
      <c r="O101" s="54"/>
      <c r="P101" s="54"/>
      <c r="Q101" s="25"/>
    </row>
    <row r="102" spans="1:17" s="5" customFormat="1" ht="12" x14ac:dyDescent="0.2">
      <c r="A102" s="14">
        <v>40452</v>
      </c>
      <c r="B102" s="73">
        <v>2074161</v>
      </c>
      <c r="C102" s="43">
        <v>143208511</v>
      </c>
      <c r="D102" s="43">
        <v>1056049</v>
      </c>
      <c r="E102" s="19"/>
      <c r="O102" s="55"/>
      <c r="P102" s="55"/>
      <c r="Q102" s="26"/>
    </row>
    <row r="103" spans="1:17" s="5" customFormat="1" ht="12" x14ac:dyDescent="0.2">
      <c r="A103" s="14">
        <v>40483</v>
      </c>
      <c r="B103" s="73">
        <v>1974976</v>
      </c>
      <c r="C103" s="43">
        <v>135172244</v>
      </c>
      <c r="D103" s="43">
        <v>975947</v>
      </c>
      <c r="E103" s="19"/>
      <c r="O103" s="55"/>
      <c r="P103" s="55"/>
      <c r="Q103" s="26"/>
    </row>
    <row r="104" spans="1:17" s="5" customFormat="1" ht="12" x14ac:dyDescent="0.2">
      <c r="A104" s="14">
        <v>40513</v>
      </c>
      <c r="B104" s="73">
        <v>2125799</v>
      </c>
      <c r="C104" s="43">
        <v>147431021</v>
      </c>
      <c r="D104" s="43">
        <v>1063565</v>
      </c>
      <c r="E104" s="19"/>
      <c r="O104" s="55"/>
      <c r="P104" s="55"/>
      <c r="Q104" s="26"/>
    </row>
    <row r="105" spans="1:17" s="5" customFormat="1" ht="12" x14ac:dyDescent="0.2">
      <c r="A105" s="14">
        <v>40544</v>
      </c>
      <c r="B105" s="73">
        <v>2058669</v>
      </c>
      <c r="C105" s="43">
        <v>142501718</v>
      </c>
      <c r="D105" s="43">
        <v>1026501</v>
      </c>
      <c r="E105" s="19"/>
      <c r="O105" s="55"/>
      <c r="P105" s="55"/>
      <c r="Q105" s="26"/>
    </row>
    <row r="106" spans="1:17" s="5" customFormat="1" ht="12" x14ac:dyDescent="0.2">
      <c r="A106" s="14">
        <v>40575</v>
      </c>
      <c r="B106" s="73">
        <v>2084273</v>
      </c>
      <c r="C106" s="43">
        <v>149125567</v>
      </c>
      <c r="D106" s="43">
        <v>1093455</v>
      </c>
      <c r="E106" s="19"/>
      <c r="O106" s="55"/>
      <c r="P106" s="55"/>
      <c r="Q106" s="26"/>
    </row>
    <row r="107" spans="1:17" s="5" customFormat="1" ht="12" x14ac:dyDescent="0.2">
      <c r="A107" s="14">
        <v>40603</v>
      </c>
      <c r="B107" s="73">
        <v>2399589</v>
      </c>
      <c r="C107" s="43">
        <v>165866260</v>
      </c>
      <c r="D107" s="43">
        <v>1283904</v>
      </c>
      <c r="E107" s="19"/>
      <c r="O107" s="55"/>
      <c r="P107" s="55"/>
      <c r="Q107" s="26"/>
    </row>
    <row r="108" spans="1:17" s="5" customFormat="1" ht="12" x14ac:dyDescent="0.2">
      <c r="A108" s="14">
        <v>40634</v>
      </c>
      <c r="B108" s="73">
        <v>2321494</v>
      </c>
      <c r="C108" s="43">
        <v>159236871</v>
      </c>
      <c r="D108" s="43">
        <v>1197405</v>
      </c>
      <c r="E108" s="19"/>
      <c r="O108" s="55"/>
      <c r="P108" s="55"/>
      <c r="Q108" s="26"/>
    </row>
    <row r="109" spans="1:17" s="5" customFormat="1" ht="12" x14ac:dyDescent="0.2">
      <c r="A109" s="14">
        <v>40664</v>
      </c>
      <c r="B109" s="73">
        <v>2320821</v>
      </c>
      <c r="C109" s="43">
        <v>160383388</v>
      </c>
      <c r="D109" s="43">
        <v>1210519</v>
      </c>
      <c r="E109" s="19"/>
      <c r="O109" s="55"/>
      <c r="P109" s="55"/>
      <c r="Q109" s="26"/>
    </row>
    <row r="110" spans="1:17" s="5" customFormat="1" ht="12" x14ac:dyDescent="0.2">
      <c r="A110" s="14">
        <v>40695</v>
      </c>
      <c r="B110" s="73">
        <v>2387014</v>
      </c>
      <c r="C110" s="43">
        <v>161517250</v>
      </c>
      <c r="D110" s="43">
        <v>1259255</v>
      </c>
      <c r="E110" s="19"/>
      <c r="O110" s="55"/>
      <c r="P110" s="55"/>
      <c r="Q110" s="26"/>
    </row>
    <row r="111" spans="1:17" s="5" customFormat="1" ht="12" x14ac:dyDescent="0.2">
      <c r="A111" s="14">
        <v>40725</v>
      </c>
      <c r="B111" s="73">
        <v>2494889</v>
      </c>
      <c r="C111" s="43">
        <v>170770181</v>
      </c>
      <c r="D111" s="43">
        <v>1309200</v>
      </c>
      <c r="E111" s="19"/>
      <c r="O111" s="55"/>
      <c r="P111" s="55"/>
      <c r="Q111" s="26"/>
    </row>
    <row r="112" spans="1:17" s="5" customFormat="1" ht="12" x14ac:dyDescent="0.2">
      <c r="A112" s="14">
        <v>40756</v>
      </c>
      <c r="B112" s="73">
        <v>2422838</v>
      </c>
      <c r="C112" s="43">
        <v>160521898</v>
      </c>
      <c r="D112" s="43">
        <v>1252713</v>
      </c>
      <c r="E112" s="19"/>
      <c r="O112" s="55"/>
      <c r="P112" s="55"/>
      <c r="Q112" s="26"/>
    </row>
    <row r="113" spans="1:17" s="5" customFormat="1" ht="12" x14ac:dyDescent="0.2">
      <c r="A113" s="14">
        <v>40787</v>
      </c>
      <c r="B113" s="73">
        <v>2321746</v>
      </c>
      <c r="C113" s="43">
        <v>155281633</v>
      </c>
      <c r="D113" s="43">
        <v>1169794</v>
      </c>
      <c r="E113" s="19"/>
      <c r="O113" s="55"/>
      <c r="P113" s="55"/>
      <c r="Q113" s="26"/>
    </row>
    <row r="114" spans="1:17" s="5" customFormat="1" ht="12" x14ac:dyDescent="0.2">
      <c r="A114" s="15" t="s">
        <v>8</v>
      </c>
      <c r="B114" s="74">
        <f>SUM(B102:B113)</f>
        <v>26986269</v>
      </c>
      <c r="C114" s="45">
        <f>SUM(C102:C113)</f>
        <v>1851016542</v>
      </c>
      <c r="D114" s="45">
        <f>SUM(D102:D113)</f>
        <v>13898307</v>
      </c>
      <c r="E114" s="19"/>
      <c r="O114" s="75"/>
      <c r="P114" s="75"/>
      <c r="Q114" s="23"/>
    </row>
    <row r="115" spans="1:17" x14ac:dyDescent="0.2">
      <c r="B115" s="21"/>
      <c r="C115" s="119"/>
      <c r="D115" s="21"/>
      <c r="E115" s="21"/>
    </row>
    <row r="116" spans="1:17" x14ac:dyDescent="0.2">
      <c r="A116" s="59"/>
      <c r="B116" s="21"/>
      <c r="C116" s="21"/>
      <c r="D116" s="21"/>
      <c r="E116" s="21"/>
    </row>
    <row r="117" spans="1:17" x14ac:dyDescent="0.2">
      <c r="A117" s="59"/>
      <c r="B117" s="21"/>
      <c r="C117" s="21"/>
      <c r="D117" s="21"/>
      <c r="E117" s="21"/>
    </row>
    <row r="118" spans="1:17" s="5" customFormat="1" x14ac:dyDescent="0.2">
      <c r="A118" s="19"/>
      <c r="B118" s="208" t="s">
        <v>54</v>
      </c>
      <c r="C118" s="208"/>
      <c r="D118" s="210"/>
      <c r="E118" s="19"/>
      <c r="O118" s="209" t="s">
        <v>57</v>
      </c>
      <c r="P118" s="209"/>
      <c r="Q118" s="209"/>
    </row>
    <row r="119" spans="1:17" s="5" customFormat="1" ht="36" x14ac:dyDescent="0.2">
      <c r="A119" s="15" t="s">
        <v>1</v>
      </c>
      <c r="B119" s="20" t="s">
        <v>2</v>
      </c>
      <c r="C119" s="20" t="s">
        <v>3</v>
      </c>
      <c r="D119" s="24"/>
      <c r="E119" s="19"/>
      <c r="O119" s="8" t="s">
        <v>9</v>
      </c>
      <c r="P119" s="8" t="s">
        <v>10</v>
      </c>
      <c r="Q119" s="25"/>
    </row>
    <row r="120" spans="1:17" s="5" customFormat="1" ht="12" x14ac:dyDescent="0.2">
      <c r="A120" s="14">
        <v>40452</v>
      </c>
      <c r="B120" s="31">
        <f t="shared" ref="B120:B132" si="5">(B85+B68)/B34</f>
        <v>2.0912740047499661</v>
      </c>
      <c r="C120" s="31">
        <f>C68/C34</f>
        <v>0.31712407672220611</v>
      </c>
      <c r="D120" s="34"/>
      <c r="E120" s="19"/>
      <c r="O120" s="38">
        <f>(B120-'FY2010'!B92)/'FY2010'!B92</f>
        <v>-6.1247675192526552E-2</v>
      </c>
      <c r="P120" s="38">
        <f>(C120-'FY2010'!C92)/'FY2010'!C92</f>
        <v>0.23276581781225783</v>
      </c>
      <c r="Q120" s="26"/>
    </row>
    <row r="121" spans="1:17" s="5" customFormat="1" ht="12" x14ac:dyDescent="0.2">
      <c r="A121" s="14">
        <v>40483</v>
      </c>
      <c r="B121" s="31">
        <f t="shared" si="5"/>
        <v>1.883362553413402</v>
      </c>
      <c r="C121" s="31">
        <f t="shared" ref="C121:C132" si="6">C69/C35</f>
        <v>0.31385656699957343</v>
      </c>
      <c r="D121" s="34"/>
      <c r="E121" s="19"/>
      <c r="O121" s="38">
        <f>(B121-'FY2010'!B93)/'FY2010'!B93</f>
        <v>-0.15533961252292677</v>
      </c>
      <c r="P121" s="38">
        <f>(C121-'FY2010'!C93)/'FY2010'!C93</f>
        <v>0.27817446484892178</v>
      </c>
      <c r="Q121" s="26"/>
    </row>
    <row r="122" spans="1:17" s="5" customFormat="1" ht="12" x14ac:dyDescent="0.2">
      <c r="A122" s="14">
        <v>40513</v>
      </c>
      <c r="B122" s="31">
        <f t="shared" si="5"/>
        <v>2.0423524865351421</v>
      </c>
      <c r="C122" s="31">
        <f t="shared" si="6"/>
        <v>0.32205758364113191</v>
      </c>
      <c r="D122" s="34"/>
      <c r="E122" s="19"/>
      <c r="O122" s="38">
        <f>(B122-'FY2010'!B94)/'FY2010'!B94</f>
        <v>-9.2765199434974674E-2</v>
      </c>
      <c r="P122" s="38">
        <f>(C122-'FY2010'!C94)/'FY2010'!C94</f>
        <v>0.21976179747037741</v>
      </c>
      <c r="Q122" s="26"/>
    </row>
    <row r="123" spans="1:17" s="5" customFormat="1" ht="12" x14ac:dyDescent="0.2">
      <c r="A123" s="14">
        <v>40544</v>
      </c>
      <c r="B123" s="31">
        <f t="shared" si="5"/>
        <v>1.8067210364580983</v>
      </c>
      <c r="C123" s="31">
        <f t="shared" si="6"/>
        <v>0.30892388382955405</v>
      </c>
      <c r="D123" s="34"/>
      <c r="E123" s="19"/>
      <c r="O123" s="38">
        <f>(B123-'FY2010'!B95)/'FY2010'!B95</f>
        <v>-0.15521790439489563</v>
      </c>
      <c r="P123" s="38">
        <f>(C123-'FY2010'!C95)/'FY2010'!C95</f>
        <v>0.23600720297212882</v>
      </c>
      <c r="Q123" s="26"/>
    </row>
    <row r="124" spans="1:17" s="5" customFormat="1" ht="12" x14ac:dyDescent="0.2">
      <c r="A124" s="14">
        <v>40575</v>
      </c>
      <c r="B124" s="31">
        <f t="shared" si="5"/>
        <v>1.7727786871705264</v>
      </c>
      <c r="C124" s="31">
        <f t="shared" si="6"/>
        <v>0.33535945420629232</v>
      </c>
      <c r="D124" s="34"/>
      <c r="E124" s="19"/>
      <c r="O124" s="38">
        <f>(B124-'FY2010'!B96)/'FY2010'!B96</f>
        <v>-0.13287222218511777</v>
      </c>
      <c r="P124" s="38">
        <f>(C124-'FY2010'!C96)/'FY2010'!C96</f>
        <v>0.31464107227019994</v>
      </c>
      <c r="Q124" s="26"/>
    </row>
    <row r="125" spans="1:17" s="5" customFormat="1" ht="12" x14ac:dyDescent="0.2">
      <c r="A125" s="14">
        <v>40603</v>
      </c>
      <c r="B125" s="31">
        <f t="shared" si="5"/>
        <v>1.8015620410346795</v>
      </c>
      <c r="C125" s="31">
        <f t="shared" si="6"/>
        <v>0.34372345073842336</v>
      </c>
      <c r="D125" s="34"/>
      <c r="E125" s="19"/>
      <c r="O125" s="38">
        <f>(B125-'FY2010'!B97)/'FY2010'!B97</f>
        <v>-0.14476485449184154</v>
      </c>
      <c r="P125" s="38">
        <f>(C125-'FY2010'!C97)/'FY2010'!C97</f>
        <v>0.34615493566896333</v>
      </c>
      <c r="Q125" s="26"/>
    </row>
    <row r="126" spans="1:17" s="5" customFormat="1" ht="12" x14ac:dyDescent="0.2">
      <c r="A126" s="14">
        <v>40634</v>
      </c>
      <c r="B126" s="31">
        <f t="shared" si="5"/>
        <v>1.9172412339342038</v>
      </c>
      <c r="C126" s="31">
        <f t="shared" si="6"/>
        <v>0.33892408499765814</v>
      </c>
      <c r="D126" s="34"/>
      <c r="E126" s="19"/>
      <c r="O126" s="38">
        <f>(B126-'FY2010'!B98)/'FY2010'!B98</f>
        <v>-8.4841976339651404E-2</v>
      </c>
      <c r="P126" s="38">
        <f>(C126-'FY2010'!C98)/'FY2010'!C98</f>
        <v>0.20278007851852264</v>
      </c>
      <c r="Q126" s="26"/>
    </row>
    <row r="127" spans="1:17" s="5" customFormat="1" ht="12" x14ac:dyDescent="0.2">
      <c r="A127" s="14">
        <v>40664</v>
      </c>
      <c r="B127" s="31">
        <f t="shared" si="5"/>
        <v>1.9014877820803844</v>
      </c>
      <c r="C127" s="31">
        <f t="shared" si="6"/>
        <v>0.32136735731763222</v>
      </c>
      <c r="D127" s="34"/>
      <c r="E127" s="19"/>
      <c r="O127" s="38">
        <f>(B127-'FY2010'!B99)/'FY2010'!B99</f>
        <v>-8.7737985614149028E-2</v>
      </c>
      <c r="P127" s="38">
        <f>(C127-'FY2010'!C99)/'FY2010'!C99</f>
        <v>6.9923265610892238E-2</v>
      </c>
      <c r="Q127" s="26"/>
    </row>
    <row r="128" spans="1:17" s="5" customFormat="1" ht="12" x14ac:dyDescent="0.2">
      <c r="A128" s="14">
        <v>40695</v>
      </c>
      <c r="B128" s="31">
        <f t="shared" si="5"/>
        <v>1.9587075535259311</v>
      </c>
      <c r="C128" s="31">
        <f t="shared" si="6"/>
        <v>0.33433699763700947</v>
      </c>
      <c r="D128" s="34"/>
      <c r="E128" s="19"/>
      <c r="O128" s="38">
        <f>(B128-'FY2010'!B100)/'FY2010'!B100</f>
        <v>-0.10800334719452914</v>
      </c>
      <c r="P128" s="38">
        <f>(C128-'FY2010'!C100)/'FY2010'!C100</f>
        <v>6.2803166133356375E-2</v>
      </c>
      <c r="Q128" s="26"/>
    </row>
    <row r="129" spans="1:17" s="5" customFormat="1" ht="12" x14ac:dyDescent="0.2">
      <c r="A129" s="14">
        <v>40725</v>
      </c>
      <c r="B129" s="31">
        <f t="shared" si="5"/>
        <v>1.8897320698542543</v>
      </c>
      <c r="C129" s="31">
        <f t="shared" si="6"/>
        <v>0.33302215572218508</v>
      </c>
      <c r="D129" s="34"/>
      <c r="E129" s="19"/>
      <c r="O129" s="38">
        <f>(B129-'FY2010'!B101)/'FY2010'!B101</f>
        <v>-0.13027038119298467</v>
      </c>
      <c r="P129" s="38">
        <f>(C129-'FY2010'!C101)/'FY2010'!C101</f>
        <v>4.948152947988417E-2</v>
      </c>
      <c r="Q129" s="26"/>
    </row>
    <row r="130" spans="1:17" s="5" customFormat="1" ht="12" x14ac:dyDescent="0.2">
      <c r="A130" s="14">
        <v>40756</v>
      </c>
      <c r="B130" s="31">
        <f t="shared" si="5"/>
        <v>1.838689668765515</v>
      </c>
      <c r="C130" s="31">
        <f t="shared" si="6"/>
        <v>0.33265133951261444</v>
      </c>
      <c r="D130" s="34"/>
      <c r="E130" s="19"/>
      <c r="O130" s="38">
        <f>(B130-'FY2010'!B102)/'FY2010'!B102</f>
        <v>-0.18461610441204407</v>
      </c>
      <c r="P130" s="38">
        <f>(C130-'FY2010'!C102)/'FY2010'!C102</f>
        <v>7.4065612613310391E-2</v>
      </c>
      <c r="Q130" s="26"/>
    </row>
    <row r="131" spans="1:17" s="5" customFormat="1" ht="12" x14ac:dyDescent="0.2">
      <c r="A131" s="14">
        <v>40787</v>
      </c>
      <c r="B131" s="31">
        <f t="shared" si="5"/>
        <v>1.9225883068434728</v>
      </c>
      <c r="C131" s="31">
        <f t="shared" si="6"/>
        <v>0.33915954905366197</v>
      </c>
      <c r="D131" s="34"/>
      <c r="E131" s="19"/>
      <c r="O131" s="38">
        <f>(B131-'FY2010'!B103)/'FY2010'!B103</f>
        <v>-5.7874933424248591E-2</v>
      </c>
      <c r="P131" s="38">
        <f>(C131-'FY2010'!C103)/'FY2010'!C103</f>
        <v>7.7868100891909195E-2</v>
      </c>
      <c r="Q131" s="26"/>
    </row>
    <row r="132" spans="1:17" s="5" customFormat="1" ht="12" x14ac:dyDescent="0.2">
      <c r="A132" s="15" t="s">
        <v>8</v>
      </c>
      <c r="B132" s="32">
        <f t="shared" si="5"/>
        <v>1.9009091875346404</v>
      </c>
      <c r="C132" s="32">
        <f t="shared" si="6"/>
        <v>0.32842557729401628</v>
      </c>
      <c r="D132" s="35"/>
      <c r="E132" s="19"/>
      <c r="O132" s="39">
        <f>(B132-'FY2010'!B104)/'FY2010'!B104</f>
        <v>-0.11710508471076803</v>
      </c>
      <c r="P132" s="39">
        <f>(C132-'FY2010'!C104)/'FY2010'!C104</f>
        <v>0.16939586406088677</v>
      </c>
      <c r="Q132" s="23"/>
    </row>
    <row r="133" spans="1:17" s="5" customFormat="1" ht="12" x14ac:dyDescent="0.2">
      <c r="A133" s="59" t="s">
        <v>35</v>
      </c>
      <c r="B133" s="88"/>
      <c r="C133" s="88"/>
      <c r="D133" s="88"/>
      <c r="E133" s="19"/>
      <c r="O133" s="51"/>
      <c r="P133" s="51"/>
      <c r="Q133" s="89"/>
    </row>
    <row r="134" spans="1:17" x14ac:dyDescent="0.2">
      <c r="B134" s="21"/>
      <c r="C134" s="21"/>
      <c r="D134" s="21"/>
      <c r="E134" s="21"/>
    </row>
    <row r="135" spans="1:17" s="5" customFormat="1" x14ac:dyDescent="0.2">
      <c r="A135" s="19"/>
      <c r="B135" s="208" t="s">
        <v>53</v>
      </c>
      <c r="C135" s="208"/>
      <c r="D135" s="210"/>
      <c r="E135" s="19"/>
      <c r="O135" s="209" t="s">
        <v>31</v>
      </c>
      <c r="P135" s="209"/>
      <c r="Q135" s="209"/>
    </row>
    <row r="136" spans="1:17" s="5" customFormat="1" ht="36" x14ac:dyDescent="0.2">
      <c r="A136" s="15" t="s">
        <v>1</v>
      </c>
      <c r="B136" s="20" t="s">
        <v>56</v>
      </c>
      <c r="C136" s="20" t="s">
        <v>3</v>
      </c>
      <c r="D136" s="24"/>
      <c r="E136" s="19"/>
      <c r="O136" s="8" t="s">
        <v>9</v>
      </c>
      <c r="P136" s="54"/>
      <c r="Q136" s="25"/>
    </row>
    <row r="137" spans="1:17" s="5" customFormat="1" ht="12" x14ac:dyDescent="0.2">
      <c r="A137" s="14">
        <v>40452</v>
      </c>
      <c r="B137" s="90">
        <f>B85/B34</f>
        <v>0.119296303807607</v>
      </c>
      <c r="C137" s="92"/>
      <c r="D137" s="34"/>
      <c r="E137" s="19"/>
      <c r="O137" s="38">
        <f>(B137-'FY2010'!B109)/'FY2010'!B109</f>
        <v>-6.8506747195737031E-2</v>
      </c>
      <c r="P137" s="55"/>
      <c r="Q137" s="26"/>
    </row>
    <row r="138" spans="1:17" s="5" customFormat="1" ht="12" x14ac:dyDescent="0.2">
      <c r="A138" s="14">
        <v>40483</v>
      </c>
      <c r="B138" s="90">
        <f>B86/B35</f>
        <v>0.11249727117018403</v>
      </c>
      <c r="C138" s="92"/>
      <c r="D138" s="34"/>
      <c r="E138" s="19"/>
      <c r="O138" s="38">
        <f>(B138-'FY2010'!B110)/'FY2010'!B110</f>
        <v>-0.13222638470645007</v>
      </c>
      <c r="P138" s="55"/>
      <c r="Q138" s="26"/>
    </row>
    <row r="139" spans="1:17" s="5" customFormat="1" ht="12" x14ac:dyDescent="0.2">
      <c r="A139" s="14">
        <v>40513</v>
      </c>
      <c r="B139" s="90">
        <f>B87/B36</f>
        <v>0.11966140192577281</v>
      </c>
      <c r="C139" s="92"/>
      <c r="D139" s="34"/>
      <c r="E139" s="19"/>
      <c r="O139" s="38">
        <f>(B139-'FY2010'!B111)/'FY2010'!B111</f>
        <v>-7.9510574072584453E-2</v>
      </c>
      <c r="P139" s="55"/>
      <c r="Q139" s="26"/>
    </row>
    <row r="140" spans="1:17" s="5" customFormat="1" ht="12" x14ac:dyDescent="0.2">
      <c r="A140" s="14">
        <v>40544</v>
      </c>
      <c r="B140" s="90">
        <f>B88/B37</f>
        <v>0.10696679298186129</v>
      </c>
      <c r="C140" s="92"/>
      <c r="D140" s="34"/>
      <c r="E140" s="19"/>
      <c r="O140" s="38">
        <f>(B140-'FY2010'!B112)/'FY2010'!B112</f>
        <v>-0.19413404206626064</v>
      </c>
      <c r="P140" s="55"/>
      <c r="Q140" s="26"/>
    </row>
    <row r="141" spans="1:17" s="5" customFormat="1" ht="12" x14ac:dyDescent="0.2">
      <c r="A141" s="14">
        <v>40575</v>
      </c>
      <c r="B141" s="90">
        <f t="shared" ref="B141:C148" si="7">B89/B38</f>
        <v>0.11025515221312465</v>
      </c>
      <c r="C141" s="90">
        <f t="shared" si="7"/>
        <v>3.7642588727187475E-2</v>
      </c>
      <c r="D141" s="34"/>
      <c r="E141" s="19"/>
      <c r="O141" s="38">
        <f>(B141-'FY2010'!B113)/'FY2010'!B113</f>
        <v>-0.11164728629876848</v>
      </c>
      <c r="P141" s="55"/>
      <c r="Q141" s="26"/>
    </row>
    <row r="142" spans="1:17" s="5" customFormat="1" ht="12" x14ac:dyDescent="0.2">
      <c r="A142" s="14">
        <v>40603</v>
      </c>
      <c r="B142" s="90">
        <f t="shared" ref="B142:B148" si="8">B90/B39</f>
        <v>0.10995166211103263</v>
      </c>
      <c r="C142" s="90">
        <f t="shared" si="7"/>
        <v>3.8351881843550345E-2</v>
      </c>
      <c r="D142" s="34"/>
      <c r="E142" s="19"/>
      <c r="O142" s="38">
        <f>(B142-'FY2010'!B114)/'FY2010'!B114</f>
        <v>-0.12588037101764785</v>
      </c>
      <c r="P142" s="55"/>
      <c r="Q142" s="26"/>
    </row>
    <row r="143" spans="1:17" s="5" customFormat="1" ht="12" x14ac:dyDescent="0.2">
      <c r="A143" s="14">
        <v>40634</v>
      </c>
      <c r="B143" s="90">
        <f t="shared" si="8"/>
        <v>0.11333602846424273</v>
      </c>
      <c r="C143" s="90">
        <f t="shared" si="7"/>
        <v>3.6900960989662487E-2</v>
      </c>
      <c r="D143" s="34"/>
      <c r="E143" s="19"/>
      <c r="O143" s="38">
        <f>(B143-'FY2010'!B115)/'FY2010'!B115</f>
        <v>-0.12373775085325027</v>
      </c>
      <c r="P143" s="55"/>
      <c r="Q143" s="26"/>
    </row>
    <row r="144" spans="1:17" s="5" customFormat="1" ht="12" x14ac:dyDescent="0.2">
      <c r="A144" s="14">
        <v>40664</v>
      </c>
      <c r="B144" s="90">
        <f t="shared" si="8"/>
        <v>0.11410374581131692</v>
      </c>
      <c r="C144" s="90">
        <f t="shared" si="7"/>
        <v>3.5017458030748683E-2</v>
      </c>
      <c r="D144" s="34"/>
      <c r="E144" s="19"/>
      <c r="O144" s="38">
        <f>(B144-'FY2010'!B116)/'FY2010'!B116</f>
        <v>-0.1164553160849503</v>
      </c>
      <c r="P144" s="55"/>
      <c r="Q144" s="26"/>
    </row>
    <row r="145" spans="1:17" s="5" customFormat="1" ht="12" x14ac:dyDescent="0.2">
      <c r="A145" s="14">
        <v>40695</v>
      </c>
      <c r="B145" s="90">
        <f t="shared" si="8"/>
        <v>0.1151766444617735</v>
      </c>
      <c r="C145" s="90">
        <f t="shared" si="7"/>
        <v>3.6444893635092387E-2</v>
      </c>
      <c r="D145" s="34"/>
      <c r="E145" s="19"/>
      <c r="O145" s="38">
        <f>(B145-'FY2010'!B117)/'FY2010'!B117</f>
        <v>-0.1223037568870633</v>
      </c>
      <c r="P145" s="55"/>
      <c r="Q145" s="26"/>
    </row>
    <row r="146" spans="1:17" s="5" customFormat="1" ht="12" x14ac:dyDescent="0.2">
      <c r="A146" s="14">
        <v>40725</v>
      </c>
      <c r="B146" s="90">
        <f t="shared" si="8"/>
        <v>0.11247205692520577</v>
      </c>
      <c r="C146" s="90">
        <f t="shared" si="7"/>
        <v>3.6197418252775476E-2</v>
      </c>
      <c r="D146" s="34"/>
      <c r="E146" s="19"/>
      <c r="O146" s="38">
        <f>(B146-'FY2010'!B118)/'FY2010'!B118</f>
        <v>-0.22230894320301184</v>
      </c>
      <c r="P146" s="55"/>
      <c r="Q146" s="26"/>
    </row>
    <row r="147" spans="1:17" s="5" customFormat="1" ht="12" x14ac:dyDescent="0.2">
      <c r="A147" s="14">
        <v>40756</v>
      </c>
      <c r="B147" s="90">
        <f t="shared" si="8"/>
        <v>0.11099978691895464</v>
      </c>
      <c r="C147" s="90">
        <f t="shared" si="7"/>
        <v>3.6242875435007108E-2</v>
      </c>
      <c r="D147" s="34"/>
      <c r="E147" s="19"/>
      <c r="O147" s="38">
        <f>(B147-'FY2010'!B119)/'FY2010'!B119</f>
        <v>-0.25929502953674105</v>
      </c>
      <c r="P147" s="55"/>
      <c r="Q147" s="26"/>
    </row>
    <row r="148" spans="1:17" s="5" customFormat="1" ht="12" x14ac:dyDescent="0.2">
      <c r="A148" s="14">
        <v>40787</v>
      </c>
      <c r="B148" s="90">
        <f t="shared" si="8"/>
        <v>0.11301192564256064</v>
      </c>
      <c r="C148" s="90">
        <f t="shared" si="7"/>
        <v>3.9573241657216082E-2</v>
      </c>
      <c r="D148" s="34"/>
      <c r="E148" s="19"/>
      <c r="O148" s="38">
        <f>(B148-'FY2010'!B120)/'FY2010'!B120</f>
        <v>-0.16726855101225646</v>
      </c>
      <c r="P148" s="55"/>
      <c r="Q148" s="26"/>
    </row>
    <row r="149" spans="1:17" s="5" customFormat="1" ht="12" x14ac:dyDescent="0.2">
      <c r="A149" s="15" t="s">
        <v>8</v>
      </c>
      <c r="B149" s="91">
        <f>AVERAGE(B137:B148)</f>
        <v>0.11314406436946971</v>
      </c>
      <c r="C149" s="91">
        <f>AVERAGE(C137:C148)</f>
        <v>3.7046414821405013E-2</v>
      </c>
      <c r="D149" s="35"/>
      <c r="E149" s="19"/>
      <c r="O149" s="39">
        <f>(B149-'FY2010'!B121)/'FY2010'!B121</f>
        <v>-0.24630040391225944</v>
      </c>
      <c r="P149" s="75"/>
      <c r="Q149" s="23"/>
    </row>
    <row r="150" spans="1:17" x14ac:dyDescent="0.2">
      <c r="A150" s="59" t="s">
        <v>55</v>
      </c>
      <c r="B150" s="21"/>
      <c r="C150" s="21"/>
      <c r="D150" s="21"/>
      <c r="E150" s="21"/>
    </row>
    <row r="151" spans="1:17" x14ac:dyDescent="0.2">
      <c r="A151" s="21"/>
      <c r="B151" s="21"/>
      <c r="C151" s="21"/>
      <c r="D151" s="21"/>
      <c r="E151" s="21"/>
    </row>
    <row r="152" spans="1:17" ht="15.75" x14ac:dyDescent="0.25">
      <c r="A152" s="207" t="s">
        <v>14</v>
      </c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5"/>
      <c r="O152" s="205"/>
      <c r="P152" s="205"/>
      <c r="Q152" s="205"/>
    </row>
    <row r="154" spans="1:17" x14ac:dyDescent="0.2">
      <c r="A154" s="5"/>
      <c r="B154" s="202" t="s">
        <v>16</v>
      </c>
      <c r="C154" s="202"/>
      <c r="D154" s="202"/>
      <c r="O154" s="203" t="s">
        <v>14</v>
      </c>
      <c r="P154" s="203"/>
      <c r="Q154" s="203"/>
    </row>
    <row r="155" spans="1:17" ht="36" x14ac:dyDescent="0.2">
      <c r="A155" s="11" t="s">
        <v>1</v>
      </c>
      <c r="B155" s="37" t="s">
        <v>27</v>
      </c>
      <c r="C155" s="37" t="s">
        <v>26</v>
      </c>
      <c r="D155" s="37" t="s">
        <v>25</v>
      </c>
      <c r="O155" s="8" t="s">
        <v>18</v>
      </c>
      <c r="P155" s="8" t="s">
        <v>19</v>
      </c>
      <c r="Q155" s="8" t="s">
        <v>11</v>
      </c>
    </row>
    <row r="156" spans="1:17" x14ac:dyDescent="0.2">
      <c r="A156" s="9">
        <v>40452</v>
      </c>
      <c r="B156" s="10">
        <v>3</v>
      </c>
      <c r="C156" s="10">
        <v>45</v>
      </c>
      <c r="D156" s="10">
        <v>49</v>
      </c>
      <c r="O156" s="38">
        <v>0</v>
      </c>
      <c r="P156" s="38">
        <f>(C156-'FY2010'!C127)/'FY2010'!C127</f>
        <v>44</v>
      </c>
      <c r="Q156" s="38">
        <f>(D156-'FY2010'!D127)/'FY2010'!D127</f>
        <v>48</v>
      </c>
    </row>
    <row r="157" spans="1:17" x14ac:dyDescent="0.2">
      <c r="A157" s="9">
        <v>40483</v>
      </c>
      <c r="B157" s="10">
        <v>2</v>
      </c>
      <c r="C157" s="10">
        <v>46</v>
      </c>
      <c r="D157" s="10">
        <v>48</v>
      </c>
      <c r="O157" s="38">
        <f>(B157-'FY2010'!B128)/'FY2010'!B128</f>
        <v>0</v>
      </c>
      <c r="P157" s="38">
        <f>(C157-'FY2010'!C128)/'FY2010'!C128</f>
        <v>0.24324324324324326</v>
      </c>
      <c r="Q157" s="38">
        <f>(D157-'FY2010'!D128)/'FY2010'!D128</f>
        <v>0.23076923076923078</v>
      </c>
    </row>
    <row r="158" spans="1:17" x14ac:dyDescent="0.2">
      <c r="A158" s="9">
        <v>40513</v>
      </c>
      <c r="B158" s="10">
        <v>4</v>
      </c>
      <c r="C158" s="10">
        <v>14</v>
      </c>
      <c r="D158" s="10">
        <v>18</v>
      </c>
      <c r="O158" s="38">
        <f>(B158-'FY2010'!B129)/'FY2010'!B129</f>
        <v>3</v>
      </c>
      <c r="P158" s="38">
        <f>(C158-'FY2010'!C129)/'FY2010'!C129</f>
        <v>-0.33333333333333331</v>
      </c>
      <c r="Q158" s="38">
        <f>(D158-'FY2010'!D129)/'FY2010'!D129</f>
        <v>-0.18181818181818182</v>
      </c>
    </row>
    <row r="159" spans="1:17" x14ac:dyDescent="0.2">
      <c r="A159" s="9">
        <v>40544</v>
      </c>
      <c r="B159" s="10">
        <v>3</v>
      </c>
      <c r="C159" s="10">
        <v>22</v>
      </c>
      <c r="D159" s="10">
        <v>31</v>
      </c>
      <c r="O159" s="38">
        <f>(B159-'FY2010'!B130)/'FY2010'!B130</f>
        <v>0.5</v>
      </c>
      <c r="P159" s="38">
        <f>(C159-'FY2010'!C130)/'FY2010'!C130</f>
        <v>3.4</v>
      </c>
      <c r="Q159" s="38">
        <f>(D159-'FY2010'!D130)/'FY2010'!D130</f>
        <v>3.4285714285714284</v>
      </c>
    </row>
    <row r="160" spans="1:17" x14ac:dyDescent="0.2">
      <c r="A160" s="9">
        <v>40575</v>
      </c>
      <c r="B160" s="10">
        <v>2</v>
      </c>
      <c r="C160" s="10">
        <v>24</v>
      </c>
      <c r="D160" s="10">
        <v>41</v>
      </c>
      <c r="O160" s="38">
        <f>(B160-'FY2010'!B131)/'FY2010'!B131</f>
        <v>0</v>
      </c>
      <c r="P160" s="38">
        <f>(C160-'FY2010'!C131)/'FY2010'!C131</f>
        <v>-0.51020408163265307</v>
      </c>
      <c r="Q160" s="38">
        <f>(D160-'FY2010'!D131)/'FY2010'!D131</f>
        <v>-0.19607843137254902</v>
      </c>
    </row>
    <row r="161" spans="1:17" x14ac:dyDescent="0.2">
      <c r="A161" s="9">
        <v>40603</v>
      </c>
      <c r="B161" s="10">
        <v>4</v>
      </c>
      <c r="C161" s="10">
        <v>57</v>
      </c>
      <c r="D161" s="10">
        <v>65</v>
      </c>
      <c r="O161" s="38">
        <f>(B161-'FY2010'!B132)/'FY2010'!B132</f>
        <v>-0.42857142857142855</v>
      </c>
      <c r="P161" s="38">
        <f>(C161-'FY2010'!C132)/'FY2010'!C132</f>
        <v>0.58333333333333337</v>
      </c>
      <c r="Q161" s="38">
        <f>(D161-'FY2010'!D132)/'FY2010'!D132</f>
        <v>0.25</v>
      </c>
    </row>
    <row r="162" spans="1:17" x14ac:dyDescent="0.2">
      <c r="A162" s="9">
        <v>40634</v>
      </c>
      <c r="B162" s="10">
        <v>2</v>
      </c>
      <c r="C162" s="10">
        <v>13</v>
      </c>
      <c r="D162" s="10">
        <v>16</v>
      </c>
      <c r="O162" s="38">
        <f>(B162-'FY2010'!B133)/'FY2010'!B133</f>
        <v>-0.75</v>
      </c>
      <c r="P162" s="38">
        <f>(C162-'FY2010'!C133)/'FY2010'!C133</f>
        <v>-0.85869565217391308</v>
      </c>
      <c r="Q162" s="38">
        <f>(D162-'FY2010'!D133)/'FY2010'!D133</f>
        <v>-0.84615384615384615</v>
      </c>
    </row>
    <row r="163" spans="1:17" x14ac:dyDescent="0.2">
      <c r="A163" s="9">
        <v>40664</v>
      </c>
      <c r="B163" s="10">
        <v>6</v>
      </c>
      <c r="C163" s="10">
        <v>54</v>
      </c>
      <c r="D163" s="10">
        <v>60</v>
      </c>
      <c r="O163" s="38">
        <f>(B163-'FY2010'!B134)/'FY2010'!B134</f>
        <v>5</v>
      </c>
      <c r="P163" s="38">
        <f>(C163-'FY2010'!C134)/'FY2010'!C134</f>
        <v>0.74193548387096775</v>
      </c>
      <c r="Q163" s="38">
        <f>(D163-'FY2010'!D134)/'FY2010'!D134</f>
        <v>0.875</v>
      </c>
    </row>
    <row r="164" spans="1:17" x14ac:dyDescent="0.2">
      <c r="A164" s="9">
        <v>40695</v>
      </c>
      <c r="B164" s="10">
        <v>2</v>
      </c>
      <c r="C164" s="10">
        <v>60</v>
      </c>
      <c r="D164" s="10">
        <v>68</v>
      </c>
      <c r="O164" s="38">
        <f>(B164-'FY2010'!B135)/'FY2010'!B135</f>
        <v>-0.33333333333333331</v>
      </c>
      <c r="P164" s="38">
        <f>(C164-'FY2010'!C135)/'FY2010'!C135</f>
        <v>4.4545454545454541</v>
      </c>
      <c r="Q164" s="38">
        <f>(D164-'FY2010'!D135)/'FY2010'!D135</f>
        <v>3.8571428571428572</v>
      </c>
    </row>
    <row r="165" spans="1:17" x14ac:dyDescent="0.2">
      <c r="A165" s="9">
        <v>40725</v>
      </c>
      <c r="B165" s="10">
        <v>3</v>
      </c>
      <c r="C165" s="10">
        <v>10</v>
      </c>
      <c r="D165" s="10">
        <v>13</v>
      </c>
      <c r="O165" s="38">
        <f>(B165-'FY2010'!B136)/'FY2010'!B136</f>
        <v>0.5</v>
      </c>
      <c r="P165" s="38">
        <f>(C165-'FY2010'!C136)/'FY2010'!C136</f>
        <v>1</v>
      </c>
      <c r="Q165" s="38">
        <f>(D165-'FY2010'!D136)/'FY2010'!D136</f>
        <v>0.18181818181818182</v>
      </c>
    </row>
    <row r="166" spans="1:17" x14ac:dyDescent="0.2">
      <c r="A166" s="9">
        <v>40756</v>
      </c>
      <c r="B166" s="10">
        <v>4</v>
      </c>
      <c r="C166" s="10">
        <v>15</v>
      </c>
      <c r="D166" s="10">
        <v>21</v>
      </c>
      <c r="O166" s="38">
        <f>(B166-'FY2010'!B137)/'FY2010'!B137</f>
        <v>3</v>
      </c>
      <c r="P166" s="38">
        <f>(C166-'FY2010'!C137)/'FY2010'!C137</f>
        <v>-0.7</v>
      </c>
      <c r="Q166" s="38">
        <f>(D166-'FY2010'!D137)/'FY2010'!D137</f>
        <v>-0.58823529411764708</v>
      </c>
    </row>
    <row r="167" spans="1:17" x14ac:dyDescent="0.2">
      <c r="A167" s="9">
        <v>40787</v>
      </c>
      <c r="B167" s="10">
        <v>3</v>
      </c>
      <c r="C167" s="10">
        <v>14</v>
      </c>
      <c r="D167" s="10">
        <v>18</v>
      </c>
      <c r="O167" s="38">
        <v>0</v>
      </c>
      <c r="P167" s="38">
        <f>(C167-'FY2010'!C138)/'FY2010'!C138</f>
        <v>-0.89473684210526316</v>
      </c>
      <c r="Q167" s="38">
        <f>(D167-'FY2010'!D138)/'FY2010'!D138</f>
        <v>-0.86466165413533835</v>
      </c>
    </row>
    <row r="168" spans="1:17" x14ac:dyDescent="0.2">
      <c r="A168" s="11" t="s">
        <v>8</v>
      </c>
      <c r="B168" s="11">
        <f>SUM(B156:B167)</f>
        <v>38</v>
      </c>
      <c r="C168" s="11">
        <f>SUM(C156:C167)</f>
        <v>374</v>
      </c>
      <c r="D168" s="11">
        <f>SUM(D156:D167)</f>
        <v>448</v>
      </c>
      <c r="O168" s="39">
        <f>(B168-'FY2010'!B139)/'FY2010'!B139</f>
        <v>0.31034482758620691</v>
      </c>
      <c r="P168" s="39">
        <f>(C168-'FY2010'!C139)/'FY2010'!C139</f>
        <v>-0.20594479830148621</v>
      </c>
      <c r="Q168" s="39">
        <f>(D168-'FY2010'!D139)/'FY2010'!D139</f>
        <v>-0.13346228239845262</v>
      </c>
    </row>
    <row r="171" spans="1:17" x14ac:dyDescent="0.2">
      <c r="A171" s="5"/>
      <c r="B171" s="212" t="s">
        <v>39</v>
      </c>
      <c r="C171" s="213"/>
      <c r="D171" s="214"/>
      <c r="O171" s="215" t="s">
        <v>33</v>
      </c>
      <c r="P171" s="216"/>
      <c r="Q171" s="217"/>
    </row>
    <row r="172" spans="1:17" ht="24" x14ac:dyDescent="0.2">
      <c r="A172" s="11" t="s">
        <v>1</v>
      </c>
      <c r="B172" s="37" t="s">
        <v>32</v>
      </c>
      <c r="C172" s="52"/>
      <c r="D172" s="52"/>
      <c r="O172" s="8" t="s">
        <v>18</v>
      </c>
      <c r="P172" s="54"/>
      <c r="Q172" s="54"/>
    </row>
    <row r="173" spans="1:17" x14ac:dyDescent="0.2">
      <c r="A173" s="9">
        <v>40452</v>
      </c>
      <c r="B173" s="58">
        <v>5829</v>
      </c>
      <c r="C173" s="53"/>
      <c r="D173" s="53"/>
      <c r="O173" s="38">
        <f>(B173-'FY2010'!B144)/'FY2010'!B144</f>
        <v>2.7861047434314935E-2</v>
      </c>
      <c r="P173" s="55"/>
      <c r="Q173" s="55"/>
    </row>
    <row r="174" spans="1:17" x14ac:dyDescent="0.2">
      <c r="A174" s="9">
        <v>40483</v>
      </c>
      <c r="B174" s="58">
        <v>5890</v>
      </c>
      <c r="C174" s="53"/>
      <c r="D174" s="53"/>
      <c r="O174" s="38">
        <f>(B174-'FY2010'!B145)/'FY2010'!B145</f>
        <v>2.7923211169284468E-2</v>
      </c>
      <c r="P174" s="55"/>
      <c r="Q174" s="55"/>
    </row>
    <row r="175" spans="1:17" x14ac:dyDescent="0.2">
      <c r="A175" s="9">
        <v>40513</v>
      </c>
      <c r="B175" s="58">
        <v>5909</v>
      </c>
      <c r="C175" s="53"/>
      <c r="D175" s="53"/>
      <c r="O175" s="38">
        <f>(B175-'FY2010'!B146)/'FY2010'!B146</f>
        <v>2.4445214979195561E-2</v>
      </c>
      <c r="P175" s="55"/>
      <c r="Q175" s="55"/>
    </row>
    <row r="176" spans="1:17" x14ac:dyDescent="0.2">
      <c r="A176" s="9">
        <v>40544</v>
      </c>
      <c r="B176" s="58">
        <v>5961</v>
      </c>
      <c r="C176" s="53"/>
      <c r="D176" s="53"/>
      <c r="O176" s="38">
        <f>(B176-'FY2010'!B147)/'FY2010'!B147</f>
        <v>3.0601659751037343E-2</v>
      </c>
      <c r="P176" s="55"/>
      <c r="Q176" s="55"/>
    </row>
    <row r="177" spans="1:17" x14ac:dyDescent="0.2">
      <c r="A177" s="9">
        <v>40575</v>
      </c>
      <c r="B177" s="58">
        <v>6024</v>
      </c>
      <c r="C177" s="53"/>
      <c r="D177" s="53"/>
      <c r="O177" s="38">
        <f>(B177-'FY2010'!B148)/'FY2010'!B148</f>
        <v>3.4340659340659344E-2</v>
      </c>
      <c r="P177" s="55"/>
      <c r="Q177" s="55"/>
    </row>
    <row r="178" spans="1:17" x14ac:dyDescent="0.2">
      <c r="A178" s="9">
        <v>40603</v>
      </c>
      <c r="B178" s="58">
        <v>6130</v>
      </c>
      <c r="C178" s="53"/>
      <c r="D178" s="53"/>
      <c r="O178" s="38">
        <f>(B178-'FY2010'!B149)/'FY2010'!B149</f>
        <v>4.004071937563624E-2</v>
      </c>
      <c r="P178" s="55"/>
      <c r="Q178" s="55"/>
    </row>
    <row r="179" spans="1:17" x14ac:dyDescent="0.2">
      <c r="A179" s="9">
        <v>40634</v>
      </c>
      <c r="B179" s="58">
        <v>6169</v>
      </c>
      <c r="C179" s="53"/>
      <c r="D179" s="53"/>
      <c r="O179" s="38">
        <f>(B179-'FY2010'!B150)/'FY2010'!B150</f>
        <v>3.0399198262902955E-2</v>
      </c>
      <c r="P179" s="55"/>
      <c r="Q179" s="55"/>
    </row>
    <row r="180" spans="1:17" x14ac:dyDescent="0.2">
      <c r="A180" s="9">
        <v>40664</v>
      </c>
      <c r="B180" s="58">
        <v>6236</v>
      </c>
      <c r="C180" s="53"/>
      <c r="D180" s="53"/>
      <c r="O180" s="38">
        <f>(B180-'FY2010'!B151)/'FY2010'!B151</f>
        <v>3.1084656084656083E-2</v>
      </c>
      <c r="P180" s="55"/>
      <c r="Q180" s="55"/>
    </row>
    <row r="181" spans="1:17" x14ac:dyDescent="0.2">
      <c r="A181" s="9">
        <v>40695</v>
      </c>
      <c r="B181" s="58">
        <v>6324</v>
      </c>
      <c r="C181" s="53"/>
      <c r="D181" s="53"/>
      <c r="O181" s="38">
        <f>(B181-'FY2010'!B152)/'FY2010'!B152</f>
        <v>5.102210403855742E-2</v>
      </c>
      <c r="P181" s="55"/>
      <c r="Q181" s="55"/>
    </row>
    <row r="182" spans="1:17" x14ac:dyDescent="0.2">
      <c r="A182" s="9">
        <v>40725</v>
      </c>
      <c r="B182" s="58">
        <v>6360</v>
      </c>
      <c r="C182" s="53"/>
      <c r="D182" s="53"/>
      <c r="O182" s="38">
        <f>(B182-'FY2010'!B153)/'FY2010'!B153</f>
        <v>6.0530265132566284E-2</v>
      </c>
      <c r="P182" s="55"/>
      <c r="Q182" s="55"/>
    </row>
    <row r="183" spans="1:17" x14ac:dyDescent="0.2">
      <c r="A183" s="9">
        <v>40756</v>
      </c>
      <c r="B183" s="58">
        <v>6392</v>
      </c>
      <c r="C183" s="53"/>
      <c r="D183" s="53"/>
      <c r="O183" s="38">
        <f>(B183-'FY2010'!B154)/'FY2010'!B154</f>
        <v>5.4089709762532981E-2</v>
      </c>
      <c r="P183" s="55"/>
      <c r="Q183" s="55"/>
    </row>
    <row r="184" spans="1:17" x14ac:dyDescent="0.2">
      <c r="A184" s="9">
        <v>40787</v>
      </c>
      <c r="B184" s="58">
        <v>6455</v>
      </c>
      <c r="C184" s="53"/>
      <c r="D184" s="53"/>
      <c r="O184" s="38">
        <f>(B184-'FY2010'!B155)/'FY2010'!B155</f>
        <v>4.3148028442146089E-2</v>
      </c>
      <c r="P184" s="55"/>
      <c r="Q184" s="55"/>
    </row>
    <row r="185" spans="1:17" x14ac:dyDescent="0.2">
      <c r="A185" s="63" t="s">
        <v>36</v>
      </c>
      <c r="B185" s="63">
        <f>AVERAGE(B173:B184)</f>
        <v>6139.916666666667</v>
      </c>
      <c r="C185" s="53"/>
      <c r="D185" s="53"/>
      <c r="O185" s="39">
        <f>(B185-'FY2010'!B156)/'FY2010'!B156</f>
        <v>3.8141802400946959E-2</v>
      </c>
      <c r="P185" s="55"/>
      <c r="Q185" s="55"/>
    </row>
    <row r="186" spans="1:17" x14ac:dyDescent="0.2">
      <c r="A186" s="77"/>
      <c r="B186" s="77"/>
      <c r="C186" s="83"/>
      <c r="D186" s="83"/>
      <c r="O186" s="51"/>
      <c r="P186" s="50"/>
      <c r="Q186" s="50"/>
    </row>
    <row r="188" spans="1:17" ht="15.75" x14ac:dyDescent="0.25">
      <c r="A188" s="207" t="s">
        <v>49</v>
      </c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5"/>
      <c r="O188" s="205"/>
      <c r="P188" s="205"/>
      <c r="Q188" s="205"/>
    </row>
    <row r="189" spans="1:17" ht="15.75" x14ac:dyDescent="0.2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0"/>
      <c r="O189" s="70"/>
      <c r="P189" s="70"/>
      <c r="Q189" s="70"/>
    </row>
    <row r="190" spans="1:17" x14ac:dyDescent="0.2">
      <c r="A190" s="5"/>
      <c r="B190" s="212" t="s">
        <v>40</v>
      </c>
      <c r="C190" s="213"/>
      <c r="D190" s="214"/>
      <c r="O190" s="233"/>
      <c r="P190" s="234"/>
      <c r="Q190" s="235"/>
    </row>
    <row r="191" spans="1:17" ht="24" x14ac:dyDescent="0.2">
      <c r="A191" s="11" t="s">
        <v>1</v>
      </c>
      <c r="B191" s="37" t="s">
        <v>41</v>
      </c>
      <c r="C191" s="64" t="s">
        <v>42</v>
      </c>
      <c r="D191" s="64" t="s">
        <v>43</v>
      </c>
      <c r="O191" s="54"/>
      <c r="P191" s="54"/>
      <c r="Q191" s="54"/>
    </row>
    <row r="192" spans="1:17" x14ac:dyDescent="0.2">
      <c r="A192" s="9">
        <v>40452</v>
      </c>
      <c r="B192" s="58">
        <v>909</v>
      </c>
      <c r="C192" s="43">
        <v>302961</v>
      </c>
      <c r="D192" s="66">
        <f t="shared" ref="D192:D204" si="9">B192/B34</f>
        <v>1.6668182511647556E-4</v>
      </c>
      <c r="E192" s="68"/>
      <c r="O192" s="55"/>
      <c r="P192" s="55"/>
      <c r="Q192" s="55"/>
    </row>
    <row r="193" spans="1:17" x14ac:dyDescent="0.2">
      <c r="A193" s="9">
        <v>40483</v>
      </c>
      <c r="B193" s="58">
        <v>689</v>
      </c>
      <c r="C193" s="43">
        <v>190905</v>
      </c>
      <c r="D193" s="66">
        <f t="shared" si="9"/>
        <v>1.3219643123358457E-4</v>
      </c>
      <c r="E193" s="68"/>
      <c r="O193" s="55"/>
      <c r="P193" s="55"/>
      <c r="Q193" s="55"/>
    </row>
    <row r="194" spans="1:17" x14ac:dyDescent="0.2">
      <c r="A194" s="9">
        <v>40513</v>
      </c>
      <c r="B194" s="58">
        <v>685</v>
      </c>
      <c r="C194" s="43">
        <v>223499</v>
      </c>
      <c r="D194" s="66">
        <f t="shared" si="9"/>
        <v>1.2416271732553868E-4</v>
      </c>
      <c r="E194" s="68"/>
      <c r="O194" s="55"/>
      <c r="P194" s="55"/>
      <c r="Q194" s="55"/>
    </row>
    <row r="195" spans="1:17" x14ac:dyDescent="0.2">
      <c r="A195" s="9">
        <v>40544</v>
      </c>
      <c r="B195" s="58">
        <v>620</v>
      </c>
      <c r="C195" s="43">
        <v>224229</v>
      </c>
      <c r="D195" s="66">
        <f t="shared" si="9"/>
        <v>1.1326532420463537E-4</v>
      </c>
      <c r="E195" s="68"/>
      <c r="O195" s="55"/>
      <c r="P195" s="55"/>
      <c r="Q195" s="55"/>
    </row>
    <row r="196" spans="1:17" x14ac:dyDescent="0.2">
      <c r="A196" s="9">
        <v>40575</v>
      </c>
      <c r="B196" s="58">
        <v>576</v>
      </c>
      <c r="C196" s="43">
        <v>273412</v>
      </c>
      <c r="D196" s="66">
        <f t="shared" si="9"/>
        <v>1.0444869855289592E-4</v>
      </c>
      <c r="E196" s="68"/>
      <c r="O196" s="55"/>
      <c r="P196" s="55"/>
      <c r="Q196" s="55"/>
    </row>
    <row r="197" spans="1:17" x14ac:dyDescent="0.2">
      <c r="A197" s="9">
        <v>40603</v>
      </c>
      <c r="B197" s="58">
        <v>864</v>
      </c>
      <c r="C197" s="43">
        <v>356960</v>
      </c>
      <c r="D197" s="66">
        <f t="shared" si="9"/>
        <v>1.3526780912647524E-4</v>
      </c>
      <c r="E197" s="68"/>
      <c r="O197" s="55"/>
      <c r="P197" s="55"/>
      <c r="Q197" s="55"/>
    </row>
    <row r="198" spans="1:17" x14ac:dyDescent="0.2">
      <c r="A198" s="9">
        <v>40634</v>
      </c>
      <c r="B198" s="58">
        <v>755</v>
      </c>
      <c r="C198" s="43">
        <v>242982</v>
      </c>
      <c r="D198" s="66">
        <f t="shared" si="9"/>
        <v>1.2337250423960215E-4</v>
      </c>
      <c r="E198" s="68"/>
      <c r="O198" s="55"/>
      <c r="P198" s="55"/>
      <c r="Q198" s="55"/>
    </row>
    <row r="199" spans="1:17" x14ac:dyDescent="0.2">
      <c r="A199" s="9">
        <v>40664</v>
      </c>
      <c r="B199" s="58">
        <f>469+163+37</f>
        <v>669</v>
      </c>
      <c r="C199" s="43">
        <f>146652+81169+19014</f>
        <v>246835</v>
      </c>
      <c r="D199" s="66">
        <f t="shared" si="9"/>
        <v>1.0634645098525457E-4</v>
      </c>
      <c r="O199" s="55"/>
      <c r="P199" s="55"/>
      <c r="Q199" s="55"/>
    </row>
    <row r="200" spans="1:17" x14ac:dyDescent="0.2">
      <c r="A200" s="9">
        <v>40695</v>
      </c>
      <c r="B200" s="58">
        <v>740</v>
      </c>
      <c r="C200" s="43">
        <v>259820</v>
      </c>
      <c r="D200" s="66">
        <f t="shared" si="9"/>
        <v>1.1341538476629074E-4</v>
      </c>
      <c r="O200" s="55"/>
      <c r="P200" s="55"/>
      <c r="Q200" s="55"/>
    </row>
    <row r="201" spans="1:17" x14ac:dyDescent="0.2">
      <c r="A201" s="9">
        <v>40725</v>
      </c>
      <c r="B201" s="58">
        <v>677</v>
      </c>
      <c r="C201" s="43">
        <v>256967.06</v>
      </c>
      <c r="D201" s="66">
        <f t="shared" si="9"/>
        <v>9.8881225391062833E-5</v>
      </c>
      <c r="O201" s="55"/>
      <c r="P201" s="55"/>
      <c r="Q201" s="55"/>
    </row>
    <row r="202" spans="1:17" x14ac:dyDescent="0.2">
      <c r="A202" s="9">
        <v>40756</v>
      </c>
      <c r="B202" s="58">
        <v>847</v>
      </c>
      <c r="C202" s="43">
        <f>189520.28+46778.53+40677.98</f>
        <v>276976.78999999998</v>
      </c>
      <c r="D202" s="66">
        <f t="shared" si="9"/>
        <v>1.2891403245224322E-4</v>
      </c>
      <c r="O202" s="55"/>
      <c r="P202" s="55"/>
      <c r="Q202" s="55"/>
    </row>
    <row r="203" spans="1:17" x14ac:dyDescent="0.2">
      <c r="A203" s="9">
        <v>40787</v>
      </c>
      <c r="B203" s="58">
        <v>642</v>
      </c>
      <c r="C203" s="43">
        <v>267488.87</v>
      </c>
      <c r="D203" s="66">
        <f t="shared" si="9"/>
        <v>1.0362123951339337E-4</v>
      </c>
      <c r="O203" s="55"/>
      <c r="P203" s="55"/>
      <c r="Q203" s="55"/>
    </row>
    <row r="204" spans="1:17" x14ac:dyDescent="0.2">
      <c r="A204" s="63" t="s">
        <v>8</v>
      </c>
      <c r="B204" s="63">
        <f>SUM(B192:B203)</f>
        <v>8673</v>
      </c>
      <c r="C204" s="65">
        <f>SUM(C192:C203)</f>
        <v>3123035.72</v>
      </c>
      <c r="D204" s="67">
        <f t="shared" si="9"/>
        <v>1.2028141107167298E-4</v>
      </c>
      <c r="O204" s="75"/>
      <c r="P204" s="55"/>
      <c r="Q204" s="55"/>
    </row>
    <row r="205" spans="1:17" x14ac:dyDescent="0.2">
      <c r="D205" s="68"/>
      <c r="O205" s="57"/>
      <c r="P205" s="57"/>
      <c r="Q205" s="57"/>
    </row>
    <row r="206" spans="1:17" x14ac:dyDescent="0.2">
      <c r="B206" s="218" t="s">
        <v>44</v>
      </c>
      <c r="C206" s="218"/>
      <c r="D206" s="69">
        <v>1.3999999999999999E-4</v>
      </c>
      <c r="O206" s="57"/>
      <c r="P206" s="57"/>
      <c r="Q206" s="57"/>
    </row>
  </sheetData>
  <mergeCells count="37">
    <mergeCell ref="A4:Q4"/>
    <mergeCell ref="A8:Q8"/>
    <mergeCell ref="A9:Q9"/>
    <mergeCell ref="A12:Q12"/>
    <mergeCell ref="A5:Q5"/>
    <mergeCell ref="A6:Q6"/>
    <mergeCell ref="A7:Q7"/>
    <mergeCell ref="A10:Q10"/>
    <mergeCell ref="A11:Q11"/>
    <mergeCell ref="O49:Q49"/>
    <mergeCell ref="B135:D135"/>
    <mergeCell ref="O135:Q135"/>
    <mergeCell ref="A188:Q188"/>
    <mergeCell ref="O83:Q83"/>
    <mergeCell ref="B83:D83"/>
    <mergeCell ref="O154:Q154"/>
    <mergeCell ref="B154:D154"/>
    <mergeCell ref="B100:D100"/>
    <mergeCell ref="A152:Q152"/>
    <mergeCell ref="B118:D118"/>
    <mergeCell ref="O118:Q118"/>
    <mergeCell ref="O190:Q190"/>
    <mergeCell ref="B206:C206"/>
    <mergeCell ref="B66:D66"/>
    <mergeCell ref="A1:Q1"/>
    <mergeCell ref="A2:Q2"/>
    <mergeCell ref="A14:Q14"/>
    <mergeCell ref="B16:D16"/>
    <mergeCell ref="B32:D32"/>
    <mergeCell ref="O16:Q16"/>
    <mergeCell ref="O32:Q32"/>
    <mergeCell ref="O66:Q66"/>
    <mergeCell ref="B190:D190"/>
    <mergeCell ref="O171:Q171"/>
    <mergeCell ref="B171:D171"/>
    <mergeCell ref="O100:Q100"/>
    <mergeCell ref="B49:D49"/>
  </mergeCells>
  <phoneticPr fontId="5" type="noConversion"/>
  <printOptions horizontalCentered="1" verticalCentered="1"/>
  <pageMargins left="0.41" right="0.34" top="0.54" bottom="0.56000000000000005" header="0.5" footer="0.5"/>
  <pageSetup scale="61" orientation="landscape" horizontalDpi="4294967293" r:id="rId1"/>
  <headerFooter alignWithMargins="0">
    <oddFooter>&amp;Rpage &amp;P</oddFooter>
  </headerFooter>
  <rowBreaks count="3" manualBreakCount="3">
    <brk id="65" max="16" man="1"/>
    <brk id="117" max="16" man="1"/>
    <brk id="151" max="16" man="1"/>
  </rowBreaks>
  <ignoredErrors>
    <ignoredError sqref="D34 D1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topLeftCell="A10" workbookViewId="0">
      <selection activeCell="B109" sqref="B109"/>
    </sheetView>
  </sheetViews>
  <sheetFormatPr defaultRowHeight="12.75" x14ac:dyDescent="0.2"/>
  <cols>
    <col min="1" max="1" width="17.28515625" customWidth="1"/>
    <col min="2" max="2" width="17" bestFit="1" customWidth="1"/>
    <col min="3" max="3" width="15.42578125" customWidth="1"/>
    <col min="4" max="4" width="17" bestFit="1" customWidth="1"/>
    <col min="5" max="5" width="6.42578125" customWidth="1"/>
    <col min="6" max="6" width="7.42578125" customWidth="1"/>
    <col min="14" max="14" width="6.42578125" customWidth="1"/>
  </cols>
  <sheetData>
    <row r="1" spans="1:14" ht="18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ht="15.75" x14ac:dyDescent="0.25">
      <c r="A2" s="206" t="s">
        <v>28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5"/>
    </row>
    <row r="3" spans="1:14" ht="15.75" x14ac:dyDescent="0.25">
      <c r="A3" s="1"/>
    </row>
    <row r="4" spans="1:14" ht="15.75" x14ac:dyDescent="0.25">
      <c r="A4" s="207" t="s">
        <v>12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5"/>
    </row>
    <row r="6" spans="1:14" x14ac:dyDescent="0.2">
      <c r="B6" s="203" t="s">
        <v>5</v>
      </c>
      <c r="C6" s="203"/>
      <c r="D6" s="203"/>
      <c r="F6" s="16"/>
    </row>
    <row r="7" spans="1:14" s="4" customFormat="1" ht="12" x14ac:dyDescent="0.2">
      <c r="A7" s="7" t="s">
        <v>1</v>
      </c>
      <c r="B7" s="8" t="s">
        <v>2</v>
      </c>
      <c r="C7" s="8" t="s">
        <v>3</v>
      </c>
      <c r="D7" s="8" t="s">
        <v>4</v>
      </c>
      <c r="E7" s="3"/>
      <c r="F7" s="2"/>
    </row>
    <row r="8" spans="1:14" s="5" customFormat="1" ht="12" x14ac:dyDescent="0.2">
      <c r="A8" s="9">
        <v>40087</v>
      </c>
      <c r="B8" s="60">
        <v>585093578.72999907</v>
      </c>
      <c r="C8" s="60">
        <v>196158766.96999985</v>
      </c>
      <c r="D8" s="61">
        <f t="shared" ref="D8:D13" si="0">SUM(B8:C8)</f>
        <v>781252345.69999886</v>
      </c>
    </row>
    <row r="9" spans="1:14" s="5" customFormat="1" ht="12" x14ac:dyDescent="0.2">
      <c r="A9" s="9">
        <v>40118</v>
      </c>
      <c r="B9" s="60">
        <v>518603592.23000002</v>
      </c>
      <c r="C9" s="60">
        <v>192287111.02000001</v>
      </c>
      <c r="D9" s="61">
        <f t="shared" si="0"/>
        <v>710890703.25</v>
      </c>
    </row>
    <row r="10" spans="1:14" s="5" customFormat="1" ht="12" x14ac:dyDescent="0.2">
      <c r="A10" s="9">
        <v>40148</v>
      </c>
      <c r="B10" s="60">
        <v>572176831</v>
      </c>
      <c r="C10" s="60">
        <v>195269013</v>
      </c>
      <c r="D10" s="61">
        <f t="shared" si="0"/>
        <v>767445844</v>
      </c>
    </row>
    <row r="11" spans="1:14" s="5" customFormat="1" ht="12" x14ac:dyDescent="0.2">
      <c r="A11" s="9">
        <v>40179</v>
      </c>
      <c r="B11" s="60">
        <v>514835565</v>
      </c>
      <c r="C11" s="60">
        <v>199614052</v>
      </c>
      <c r="D11" s="61">
        <f t="shared" si="0"/>
        <v>714449617</v>
      </c>
    </row>
    <row r="12" spans="1:14" s="5" customFormat="1" ht="12" x14ac:dyDescent="0.2">
      <c r="A12" s="9">
        <v>40210</v>
      </c>
      <c r="B12" s="60">
        <v>479370132</v>
      </c>
      <c r="C12" s="60">
        <v>185216561</v>
      </c>
      <c r="D12" s="61">
        <f t="shared" si="0"/>
        <v>664586693</v>
      </c>
    </row>
    <row r="13" spans="1:14" s="5" customFormat="1" ht="12" x14ac:dyDescent="0.2">
      <c r="A13" s="9">
        <v>40238</v>
      </c>
      <c r="B13" s="60">
        <v>557973584</v>
      </c>
      <c r="C13" s="60">
        <v>195845326</v>
      </c>
      <c r="D13" s="61">
        <f t="shared" si="0"/>
        <v>753818910</v>
      </c>
    </row>
    <row r="14" spans="1:14" s="5" customFormat="1" ht="12" x14ac:dyDescent="0.2">
      <c r="A14" s="9">
        <v>40269</v>
      </c>
      <c r="B14" s="60">
        <v>541723638</v>
      </c>
      <c r="C14" s="60">
        <v>192040614</v>
      </c>
      <c r="D14" s="61">
        <f t="shared" ref="D14:D19" si="1">SUM(B14:C14)</f>
        <v>733764252</v>
      </c>
    </row>
    <row r="15" spans="1:14" s="5" customFormat="1" ht="12" x14ac:dyDescent="0.2">
      <c r="A15" s="9">
        <v>40299</v>
      </c>
      <c r="B15" s="60">
        <v>569876104.14999998</v>
      </c>
      <c r="C15" s="60">
        <v>207587583.47999999</v>
      </c>
      <c r="D15" s="61">
        <f t="shared" si="1"/>
        <v>777463687.63</v>
      </c>
    </row>
    <row r="16" spans="1:14" s="5" customFormat="1" ht="12" x14ac:dyDescent="0.2">
      <c r="A16" s="9">
        <v>40330</v>
      </c>
      <c r="B16" s="60">
        <v>576633543</v>
      </c>
      <c r="C16" s="60">
        <v>175831800</v>
      </c>
      <c r="D16" s="61">
        <f t="shared" si="1"/>
        <v>752465343</v>
      </c>
    </row>
    <row r="17" spans="1:4" s="5" customFormat="1" ht="12" x14ac:dyDescent="0.2">
      <c r="A17" s="9">
        <v>40360</v>
      </c>
      <c r="B17" s="60">
        <v>636796921</v>
      </c>
      <c r="C17" s="60">
        <v>192623287</v>
      </c>
      <c r="D17" s="61">
        <f t="shared" si="1"/>
        <v>829420208</v>
      </c>
    </row>
    <row r="18" spans="1:4" s="5" customFormat="1" ht="12" x14ac:dyDescent="0.2">
      <c r="A18" s="9">
        <v>40391</v>
      </c>
      <c r="B18" s="60">
        <v>630696995</v>
      </c>
      <c r="C18" s="60">
        <v>191608491</v>
      </c>
      <c r="D18" s="61">
        <f t="shared" si="1"/>
        <v>822305486</v>
      </c>
    </row>
    <row r="19" spans="1:4" s="5" customFormat="1" ht="12" x14ac:dyDescent="0.2">
      <c r="A19" s="9">
        <v>40422</v>
      </c>
      <c r="B19" s="60">
        <v>607499451</v>
      </c>
      <c r="C19" s="60">
        <v>193582438</v>
      </c>
      <c r="D19" s="61">
        <f t="shared" si="1"/>
        <v>801081889</v>
      </c>
    </row>
    <row r="20" spans="1:4" s="6" customFormat="1" ht="12" x14ac:dyDescent="0.2">
      <c r="A20" s="11" t="s">
        <v>30</v>
      </c>
      <c r="B20" s="62">
        <f>SUM(B8:B19)</f>
        <v>6791279935.1099987</v>
      </c>
      <c r="C20" s="62">
        <f>SUM(C8:C19)</f>
        <v>2317665043.4699998</v>
      </c>
      <c r="D20" s="62">
        <f>SUM(D8:D19)</f>
        <v>9108944978.579998</v>
      </c>
    </row>
    <row r="21" spans="1:4" s="5" customFormat="1" ht="12" x14ac:dyDescent="0.2"/>
    <row r="22" spans="1:4" s="5" customFormat="1" ht="12" x14ac:dyDescent="0.2">
      <c r="B22" s="202" t="s">
        <v>6</v>
      </c>
      <c r="C22" s="202"/>
      <c r="D22" s="202"/>
    </row>
    <row r="23" spans="1:4" s="5" customFormat="1" ht="12" x14ac:dyDescent="0.2">
      <c r="A23" s="11" t="s">
        <v>1</v>
      </c>
      <c r="B23" s="12" t="s">
        <v>2</v>
      </c>
      <c r="C23" s="12" t="s">
        <v>3</v>
      </c>
      <c r="D23" s="12" t="s">
        <v>4</v>
      </c>
    </row>
    <row r="24" spans="1:4" s="5" customFormat="1" ht="12" x14ac:dyDescent="0.2">
      <c r="A24" s="9">
        <v>40087</v>
      </c>
      <c r="B24" s="13">
        <v>4593379</v>
      </c>
      <c r="C24" s="13">
        <v>2563287</v>
      </c>
      <c r="D24" s="33">
        <f t="shared" ref="D24:D29" si="2">SUM(B24:C24)</f>
        <v>7156666</v>
      </c>
    </row>
    <row r="25" spans="1:4" s="5" customFormat="1" ht="12" x14ac:dyDescent="0.2">
      <c r="A25" s="9">
        <v>40118</v>
      </c>
      <c r="B25" s="13">
        <v>4050181</v>
      </c>
      <c r="C25" s="13">
        <v>2480999</v>
      </c>
      <c r="D25" s="33">
        <f t="shared" si="2"/>
        <v>6531180</v>
      </c>
    </row>
    <row r="26" spans="1:4" s="5" customFormat="1" ht="12" x14ac:dyDescent="0.2">
      <c r="A26" s="9">
        <v>40148</v>
      </c>
      <c r="B26" s="13">
        <v>4444422</v>
      </c>
      <c r="C26" s="13">
        <v>2499979</v>
      </c>
      <c r="D26" s="33">
        <f t="shared" si="2"/>
        <v>6944401</v>
      </c>
    </row>
    <row r="27" spans="1:4" s="5" customFormat="1" ht="12" x14ac:dyDescent="0.2">
      <c r="A27" s="9">
        <v>40179</v>
      </c>
      <c r="B27" s="13">
        <v>4168735</v>
      </c>
      <c r="C27" s="13">
        <v>2547145</v>
      </c>
      <c r="D27" s="33">
        <f t="shared" si="2"/>
        <v>6715880</v>
      </c>
    </row>
    <row r="28" spans="1:4" s="5" customFormat="1" ht="12" x14ac:dyDescent="0.2">
      <c r="A28" s="9">
        <v>40210</v>
      </c>
      <c r="B28" s="13">
        <v>4051851</v>
      </c>
      <c r="C28" s="13">
        <v>2380333</v>
      </c>
      <c r="D28" s="33">
        <f t="shared" si="2"/>
        <v>6432184</v>
      </c>
    </row>
    <row r="29" spans="1:4" s="5" customFormat="1" ht="12" x14ac:dyDescent="0.2">
      <c r="A29" s="9">
        <v>40238</v>
      </c>
      <c r="B29" s="13">
        <v>4597656</v>
      </c>
      <c r="C29" s="13">
        <v>2610450</v>
      </c>
      <c r="D29" s="33">
        <f t="shared" si="2"/>
        <v>7208106</v>
      </c>
    </row>
    <row r="30" spans="1:4" s="5" customFormat="1" ht="12" x14ac:dyDescent="0.2">
      <c r="A30" s="9">
        <v>40269</v>
      </c>
      <c r="B30" s="13">
        <v>4568187</v>
      </c>
      <c r="C30" s="13">
        <v>2590453</v>
      </c>
      <c r="D30" s="33">
        <f t="shared" ref="D30:D35" si="3">SUM(B30:C30)</f>
        <v>7158640</v>
      </c>
    </row>
    <row r="31" spans="1:4" s="5" customFormat="1" ht="12" x14ac:dyDescent="0.2">
      <c r="A31" s="9">
        <v>40299</v>
      </c>
      <c r="B31" s="13">
        <v>4804397</v>
      </c>
      <c r="C31" s="13">
        <v>2743151</v>
      </c>
      <c r="D31" s="33">
        <f t="shared" si="3"/>
        <v>7547548</v>
      </c>
    </row>
    <row r="32" spans="1:4" s="5" customFormat="1" ht="12" x14ac:dyDescent="0.2">
      <c r="A32" s="9">
        <v>40330</v>
      </c>
      <c r="B32" s="13">
        <v>4744425</v>
      </c>
      <c r="C32" s="13">
        <v>2448500</v>
      </c>
      <c r="D32" s="33">
        <f t="shared" si="3"/>
        <v>7192925</v>
      </c>
    </row>
    <row r="33" spans="1:4" s="5" customFormat="1" ht="12" x14ac:dyDescent="0.2">
      <c r="A33" s="9">
        <v>40360</v>
      </c>
      <c r="B33" s="13">
        <v>5212257</v>
      </c>
      <c r="C33" s="13">
        <v>2590071</v>
      </c>
      <c r="D33" s="33">
        <f t="shared" si="3"/>
        <v>7802328</v>
      </c>
    </row>
    <row r="34" spans="1:4" s="5" customFormat="1" ht="12" x14ac:dyDescent="0.2">
      <c r="A34" s="9">
        <v>40391</v>
      </c>
      <c r="B34" s="13">
        <v>4980833</v>
      </c>
      <c r="C34" s="13">
        <v>2594821</v>
      </c>
      <c r="D34" s="33">
        <f t="shared" si="3"/>
        <v>7575654</v>
      </c>
    </row>
    <row r="35" spans="1:4" s="5" customFormat="1" ht="12" x14ac:dyDescent="0.2">
      <c r="A35" s="9">
        <v>40422</v>
      </c>
      <c r="B35" s="13">
        <v>5293068</v>
      </c>
      <c r="C35" s="13">
        <v>2629333</v>
      </c>
      <c r="D35" s="33">
        <f t="shared" si="3"/>
        <v>7922401</v>
      </c>
    </row>
    <row r="36" spans="1:4" s="6" customFormat="1" ht="12" x14ac:dyDescent="0.2">
      <c r="A36" s="11" t="s">
        <v>30</v>
      </c>
      <c r="B36" s="40">
        <f>SUM(B24:B35)</f>
        <v>55509391</v>
      </c>
      <c r="C36" s="40">
        <f>SUM(C24:C35)</f>
        <v>30678522</v>
      </c>
      <c r="D36" s="40">
        <f>SUM(D24:D35)</f>
        <v>86187913</v>
      </c>
    </row>
    <row r="37" spans="1:4" s="6" customFormat="1" ht="12" x14ac:dyDescent="0.2">
      <c r="A37" s="17"/>
      <c r="B37" s="85"/>
      <c r="C37" s="85"/>
      <c r="D37" s="85"/>
    </row>
    <row r="38" spans="1:4" s="6" customFormat="1" ht="12" x14ac:dyDescent="0.2">
      <c r="A38" s="17"/>
      <c r="B38" s="85"/>
      <c r="C38" s="85"/>
      <c r="D38" s="85"/>
    </row>
    <row r="39" spans="1:4" s="6" customFormat="1" ht="12" x14ac:dyDescent="0.2">
      <c r="A39" s="5"/>
      <c r="B39" s="202" t="s">
        <v>29</v>
      </c>
      <c r="C39" s="202"/>
      <c r="D39" s="202"/>
    </row>
    <row r="40" spans="1:4" s="6" customFormat="1" ht="12" x14ac:dyDescent="0.2">
      <c r="A40" s="11" t="s">
        <v>1</v>
      </c>
      <c r="B40" s="12" t="s">
        <v>2</v>
      </c>
      <c r="C40" s="12" t="s">
        <v>3</v>
      </c>
      <c r="D40" s="12" t="s">
        <v>4</v>
      </c>
    </row>
    <row r="41" spans="1:4" s="6" customFormat="1" ht="12" x14ac:dyDescent="0.2">
      <c r="A41" s="9">
        <v>40087</v>
      </c>
      <c r="B41" s="86">
        <f t="shared" ref="B41:D53" si="4">B8/B24</f>
        <v>127.37759691286068</v>
      </c>
      <c r="C41" s="86">
        <f t="shared" si="4"/>
        <v>76.526259825762722</v>
      </c>
      <c r="D41" s="86">
        <f t="shared" si="4"/>
        <v>109.1642876305809</v>
      </c>
    </row>
    <row r="42" spans="1:4" s="6" customFormat="1" ht="12" x14ac:dyDescent="0.2">
      <c r="A42" s="9">
        <v>40118</v>
      </c>
      <c r="B42" s="86">
        <f t="shared" si="4"/>
        <v>128.04454720171765</v>
      </c>
      <c r="C42" s="86">
        <f t="shared" si="4"/>
        <v>77.503905088232614</v>
      </c>
      <c r="D42" s="86">
        <f t="shared" si="4"/>
        <v>108.84567616418472</v>
      </c>
    </row>
    <row r="43" spans="1:4" s="6" customFormat="1" ht="12" x14ac:dyDescent="0.2">
      <c r="A43" s="9">
        <v>40148</v>
      </c>
      <c r="B43" s="86">
        <f t="shared" si="4"/>
        <v>128.74043711420742</v>
      </c>
      <c r="C43" s="86">
        <f t="shared" si="4"/>
        <v>78.108261309395004</v>
      </c>
      <c r="D43" s="86">
        <f t="shared" si="4"/>
        <v>110.51289290465802</v>
      </c>
    </row>
    <row r="44" spans="1:4" s="6" customFormat="1" ht="12" x14ac:dyDescent="0.2">
      <c r="A44" s="9">
        <v>40179</v>
      </c>
      <c r="B44" s="86">
        <f t="shared" si="4"/>
        <v>123.49923058193913</v>
      </c>
      <c r="C44" s="86">
        <f t="shared" si="4"/>
        <v>78.367761552640303</v>
      </c>
      <c r="D44" s="86">
        <f t="shared" si="4"/>
        <v>106.38212966878503</v>
      </c>
    </row>
    <row r="45" spans="1:4" s="6" customFormat="1" ht="12" x14ac:dyDescent="0.2">
      <c r="A45" s="9">
        <v>40210</v>
      </c>
      <c r="B45" s="86">
        <f t="shared" si="4"/>
        <v>118.30892399547763</v>
      </c>
      <c r="C45" s="86">
        <f t="shared" si="4"/>
        <v>77.811197424898111</v>
      </c>
      <c r="D45" s="86">
        <f t="shared" si="4"/>
        <v>103.32208982205734</v>
      </c>
    </row>
    <row r="46" spans="1:4" s="6" customFormat="1" ht="12" x14ac:dyDescent="0.2">
      <c r="A46" s="9">
        <v>40238</v>
      </c>
      <c r="B46" s="86">
        <f t="shared" si="4"/>
        <v>121.36044627958246</v>
      </c>
      <c r="C46" s="86">
        <f t="shared" si="4"/>
        <v>75.023588270221609</v>
      </c>
      <c r="D46" s="86">
        <f t="shared" si="4"/>
        <v>104.57933193546266</v>
      </c>
    </row>
    <row r="47" spans="1:4" s="6" customFormat="1" ht="12" x14ac:dyDescent="0.2">
      <c r="A47" s="9">
        <v>40269</v>
      </c>
      <c r="B47" s="86">
        <f t="shared" si="4"/>
        <v>118.58613449931012</v>
      </c>
      <c r="C47" s="86">
        <f t="shared" si="4"/>
        <v>74.133988920084633</v>
      </c>
      <c r="D47" s="86">
        <f t="shared" si="4"/>
        <v>102.50051015276645</v>
      </c>
    </row>
    <row r="48" spans="1:4" s="6" customFormat="1" ht="12" x14ac:dyDescent="0.2">
      <c r="A48" s="9">
        <v>40299</v>
      </c>
      <c r="B48" s="86">
        <f t="shared" si="4"/>
        <v>118.61553159532819</v>
      </c>
      <c r="C48" s="86">
        <f t="shared" si="4"/>
        <v>75.674865685483582</v>
      </c>
      <c r="D48" s="86">
        <f t="shared" si="4"/>
        <v>103.00877684116749</v>
      </c>
    </row>
    <row r="49" spans="1:14" s="6" customFormat="1" ht="12" x14ac:dyDescent="0.2">
      <c r="A49" s="9">
        <v>40330</v>
      </c>
      <c r="B49" s="86">
        <f t="shared" si="4"/>
        <v>121.53918398962993</v>
      </c>
      <c r="C49" s="86">
        <f t="shared" si="4"/>
        <v>71.812048192771087</v>
      </c>
      <c r="D49" s="86">
        <f t="shared" si="4"/>
        <v>104.61187110945825</v>
      </c>
    </row>
    <row r="50" spans="1:14" s="6" customFormat="1" ht="12" x14ac:dyDescent="0.2">
      <c r="A50" s="9">
        <v>40360</v>
      </c>
      <c r="B50" s="86">
        <f t="shared" si="4"/>
        <v>122.17297055766821</v>
      </c>
      <c r="C50" s="86">
        <f t="shared" si="4"/>
        <v>74.369886771443717</v>
      </c>
      <c r="D50" s="86">
        <f t="shared" si="4"/>
        <v>106.30419638856506</v>
      </c>
    </row>
    <row r="51" spans="1:14" s="6" customFormat="1" ht="12" x14ac:dyDescent="0.2">
      <c r="A51" s="9">
        <v>40391</v>
      </c>
      <c r="B51" s="86">
        <f t="shared" si="4"/>
        <v>126.6248025179724</v>
      </c>
      <c r="C51" s="86">
        <f t="shared" si="4"/>
        <v>73.84266236476428</v>
      </c>
      <c r="D51" s="86">
        <f t="shared" si="4"/>
        <v>108.54580819028958</v>
      </c>
    </row>
    <row r="52" spans="1:14" s="6" customFormat="1" ht="12" x14ac:dyDescent="0.2">
      <c r="A52" s="9">
        <v>40422</v>
      </c>
      <c r="B52" s="86">
        <f t="shared" si="4"/>
        <v>114.77265189111495</v>
      </c>
      <c r="C52" s="86">
        <f t="shared" si="4"/>
        <v>73.624161717059039</v>
      </c>
      <c r="D52" s="86">
        <f t="shared" si="4"/>
        <v>101.11604916236884</v>
      </c>
    </row>
    <row r="53" spans="1:14" s="6" customFormat="1" ht="12" x14ac:dyDescent="0.2">
      <c r="A53" s="11" t="s">
        <v>30</v>
      </c>
      <c r="B53" s="87">
        <f t="shared" si="4"/>
        <v>122.34470263076744</v>
      </c>
      <c r="C53" s="87">
        <f t="shared" si="4"/>
        <v>75.546828607649346</v>
      </c>
      <c r="D53" s="87">
        <f t="shared" si="4"/>
        <v>105.68703500895766</v>
      </c>
    </row>
    <row r="54" spans="1:14" s="6" customFormat="1" ht="12" x14ac:dyDescent="0.2">
      <c r="A54" s="17"/>
      <c r="B54" s="85"/>
      <c r="C54" s="85"/>
      <c r="D54" s="85"/>
    </row>
    <row r="55" spans="1:14" ht="15.75" x14ac:dyDescent="0.25">
      <c r="A55" s="207" t="s">
        <v>13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5"/>
    </row>
    <row r="56" spans="1:14" s="5" customFormat="1" ht="12" x14ac:dyDescent="0.2"/>
    <row r="57" spans="1:14" s="5" customFormat="1" ht="12" x14ac:dyDescent="0.2">
      <c r="B57" s="202" t="s">
        <v>7</v>
      </c>
      <c r="C57" s="202"/>
      <c r="D57" s="202"/>
    </row>
    <row r="58" spans="1:14" s="5" customFormat="1" ht="12" x14ac:dyDescent="0.2">
      <c r="A58" s="11" t="s">
        <v>1</v>
      </c>
      <c r="B58" s="12" t="s">
        <v>2</v>
      </c>
      <c r="C58" s="12" t="s">
        <v>3</v>
      </c>
      <c r="D58" s="12" t="s">
        <v>4</v>
      </c>
    </row>
    <row r="59" spans="1:14" s="5" customFormat="1" ht="12" x14ac:dyDescent="0.2">
      <c r="A59" s="9">
        <v>40087</v>
      </c>
      <c r="B59" s="41">
        <f>6867200.75000002+452298.73+2405097.96</f>
        <v>9724597.44000002</v>
      </c>
      <c r="C59" s="41">
        <v>659395.32999999996</v>
      </c>
      <c r="D59" s="41">
        <f t="shared" ref="D59:D64" si="5">SUM(B59:C59)</f>
        <v>10383992.77000002</v>
      </c>
    </row>
    <row r="60" spans="1:14" s="5" customFormat="1" ht="12" x14ac:dyDescent="0.2">
      <c r="A60" s="9">
        <v>40118</v>
      </c>
      <c r="B60" s="41">
        <f>6110381.53+427632.61+2036202.73</f>
        <v>8574216.870000001</v>
      </c>
      <c r="C60" s="41">
        <v>609210.91</v>
      </c>
      <c r="D60" s="41">
        <f t="shared" si="5"/>
        <v>9183427.7800000012</v>
      </c>
    </row>
    <row r="61" spans="1:14" s="5" customFormat="1" ht="12" x14ac:dyDescent="0.2">
      <c r="A61" s="9">
        <v>40148</v>
      </c>
      <c r="B61" s="41">
        <f>6735801+463572+2304793</f>
        <v>9504166</v>
      </c>
      <c r="C61" s="41">
        <v>660077.4</v>
      </c>
      <c r="D61" s="41">
        <f t="shared" si="5"/>
        <v>10164243.4</v>
      </c>
    </row>
    <row r="62" spans="1:14" s="5" customFormat="1" ht="12" x14ac:dyDescent="0.2">
      <c r="A62" s="9">
        <v>40179</v>
      </c>
      <c r="B62" s="41">
        <f>6061286+363212.16+2007899</f>
        <v>8432397.1600000001</v>
      </c>
      <c r="C62" s="41">
        <f>636625.48+0.2</f>
        <v>636625.67999999993</v>
      </c>
      <c r="D62" s="41">
        <f t="shared" si="5"/>
        <v>9069022.8399999999</v>
      </c>
    </row>
    <row r="63" spans="1:14" s="5" customFormat="1" ht="12" x14ac:dyDescent="0.2">
      <c r="A63" s="9">
        <v>40210</v>
      </c>
      <c r="B63" s="41">
        <f>5715498+332447+1798159</f>
        <v>7846104</v>
      </c>
      <c r="C63" s="41">
        <v>607213.02</v>
      </c>
      <c r="D63" s="41">
        <f t="shared" si="5"/>
        <v>8453317.0199999996</v>
      </c>
    </row>
    <row r="64" spans="1:14" s="5" customFormat="1" ht="12" x14ac:dyDescent="0.2">
      <c r="A64" s="9">
        <v>40238</v>
      </c>
      <c r="B64" s="41">
        <f>6635590+408597+2137769</f>
        <v>9181956</v>
      </c>
      <c r="C64" s="41">
        <v>666545.03</v>
      </c>
      <c r="D64" s="41">
        <f t="shared" si="5"/>
        <v>9848501.0299999993</v>
      </c>
    </row>
    <row r="65" spans="1:5" s="5" customFormat="1" ht="12" x14ac:dyDescent="0.2">
      <c r="A65" s="9">
        <v>40269</v>
      </c>
      <c r="B65" s="41">
        <f>6568008+371509+2116874</f>
        <v>9056391</v>
      </c>
      <c r="C65" s="41">
        <v>729948</v>
      </c>
      <c r="D65" s="41">
        <f t="shared" ref="D65:D70" si="6">SUM(B65:C65)</f>
        <v>9786339</v>
      </c>
    </row>
    <row r="66" spans="1:5" s="5" customFormat="1" ht="12" x14ac:dyDescent="0.2">
      <c r="A66" s="9">
        <v>40299</v>
      </c>
      <c r="B66" s="41">
        <f>7001243.05+2086748.22+384230.34</f>
        <v>9472221.6099999994</v>
      </c>
      <c r="C66" s="41">
        <v>823946.18</v>
      </c>
      <c r="D66" s="41">
        <f t="shared" si="6"/>
        <v>10296167.789999999</v>
      </c>
    </row>
    <row r="67" spans="1:5" s="5" customFormat="1" ht="12" x14ac:dyDescent="0.2">
      <c r="A67" s="9">
        <v>40330</v>
      </c>
      <c r="B67" s="41">
        <f>7244758+464052+2167938</f>
        <v>9876748</v>
      </c>
      <c r="C67" s="41">
        <v>770250</v>
      </c>
      <c r="D67" s="41">
        <f t="shared" si="6"/>
        <v>10646998</v>
      </c>
    </row>
    <row r="68" spans="1:5" s="5" customFormat="1" ht="12" x14ac:dyDescent="0.2">
      <c r="A68" s="9">
        <v>40360</v>
      </c>
      <c r="B68" s="41">
        <f>503136+2357211+7813277</f>
        <v>10673624</v>
      </c>
      <c r="C68" s="41">
        <v>821883</v>
      </c>
      <c r="D68" s="41">
        <f t="shared" si="6"/>
        <v>11495507</v>
      </c>
    </row>
    <row r="69" spans="1:5" s="5" customFormat="1" ht="12" x14ac:dyDescent="0.2">
      <c r="A69" s="9">
        <v>40391</v>
      </c>
      <c r="B69" s="41">
        <f>7804284+2284915+494291</f>
        <v>10583490</v>
      </c>
      <c r="C69" s="41">
        <v>803648</v>
      </c>
      <c r="D69" s="41">
        <f t="shared" si="6"/>
        <v>11387138</v>
      </c>
    </row>
    <row r="70" spans="1:5" s="5" customFormat="1" ht="12" x14ac:dyDescent="0.2">
      <c r="A70" s="9">
        <v>40422</v>
      </c>
      <c r="B70" s="41">
        <f>7517107+477293+2179551</f>
        <v>10173951</v>
      </c>
      <c r="C70" s="41">
        <v>827340</v>
      </c>
      <c r="D70" s="41">
        <f t="shared" si="6"/>
        <v>11001291</v>
      </c>
    </row>
    <row r="71" spans="1:5" s="6" customFormat="1" ht="12" x14ac:dyDescent="0.2">
      <c r="A71" s="11" t="s">
        <v>30</v>
      </c>
      <c r="B71" s="42">
        <f>SUM(B59:B70)</f>
        <v>113099863.08000001</v>
      </c>
      <c r="C71" s="42">
        <f>SUM(C59:C70)</f>
        <v>8616082.5500000007</v>
      </c>
      <c r="D71" s="42">
        <f>SUM(D59:D70)</f>
        <v>121715945.63000003</v>
      </c>
    </row>
    <row r="72" spans="1:5" s="6" customFormat="1" ht="12" x14ac:dyDescent="0.2">
      <c r="A72" s="17"/>
      <c r="B72" s="17"/>
      <c r="C72" s="17"/>
      <c r="D72" s="17"/>
    </row>
    <row r="73" spans="1:5" s="5" customFormat="1" ht="12" x14ac:dyDescent="0.2">
      <c r="A73" s="19"/>
      <c r="B73" s="208" t="s">
        <v>20</v>
      </c>
      <c r="C73" s="208"/>
      <c r="D73" s="208"/>
      <c r="E73" s="19"/>
    </row>
    <row r="74" spans="1:5" s="5" customFormat="1" ht="12" x14ac:dyDescent="0.2">
      <c r="A74" s="15" t="s">
        <v>1</v>
      </c>
      <c r="B74" s="20" t="s">
        <v>2</v>
      </c>
      <c r="C74" s="22"/>
      <c r="D74" s="24"/>
      <c r="E74" s="19"/>
    </row>
    <row r="75" spans="1:5" s="5" customFormat="1" ht="12" x14ac:dyDescent="0.2">
      <c r="A75" s="14">
        <v>40087</v>
      </c>
      <c r="B75" s="31">
        <v>508148.56</v>
      </c>
      <c r="C75" s="22"/>
      <c r="D75" s="22"/>
      <c r="E75" s="19"/>
    </row>
    <row r="76" spans="1:5" s="5" customFormat="1" ht="12" x14ac:dyDescent="0.2">
      <c r="A76" s="14">
        <v>40118</v>
      </c>
      <c r="B76" s="31">
        <f>428649.49+11.24+3760.79+207.82+21.47+1317.93+19142.8+114.44+59.07+751.92+2546.4</f>
        <v>456583.36999999994</v>
      </c>
      <c r="C76" s="22"/>
      <c r="D76" s="22"/>
      <c r="E76" s="19"/>
    </row>
    <row r="77" spans="1:5" s="5" customFormat="1" ht="12" x14ac:dyDescent="0.2">
      <c r="A77" s="14">
        <v>40148</v>
      </c>
      <c r="B77" s="31">
        <v>501045.79</v>
      </c>
      <c r="C77" s="22"/>
      <c r="D77" s="22"/>
      <c r="E77" s="19"/>
    </row>
    <row r="78" spans="1:5" s="5" customFormat="1" ht="12" x14ac:dyDescent="0.2">
      <c r="A78" s="14">
        <v>40179</v>
      </c>
      <c r="B78" s="31">
        <f>454623.82+10.6+3189+208.7+21.59+1783.95+19091.73+134.33+69.91+0.03+1320.81+2750.7</f>
        <v>483205.17000000004</v>
      </c>
      <c r="C78" s="22"/>
      <c r="D78" s="22"/>
      <c r="E78" s="19"/>
    </row>
    <row r="79" spans="1:5" s="5" customFormat="1" ht="12" x14ac:dyDescent="0.2">
      <c r="A79" s="14">
        <v>40210</v>
      </c>
      <c r="B79" s="31">
        <f>407892.51+9.59+3547.34+236.7+24.48+1701.13+19117+146.54+76.02+1446.05+3408.7</f>
        <v>437606.06000000006</v>
      </c>
      <c r="C79" s="22"/>
      <c r="D79" s="22"/>
      <c r="E79" s="19"/>
    </row>
    <row r="80" spans="1:5" s="5" customFormat="1" ht="12" x14ac:dyDescent="0.2">
      <c r="A80" s="14">
        <v>40238</v>
      </c>
      <c r="B80" s="31">
        <f>132751.08+28+2507.79+1630.41+367.15+58.1+24417.08+56449.54+269095.89+5143.1+210+109+2688.31+3823.5+1.63+3775.28</f>
        <v>503055.86000000004</v>
      </c>
      <c r="C80" s="22"/>
      <c r="D80" s="22"/>
      <c r="E80" s="19"/>
    </row>
    <row r="81" spans="1:5" s="5" customFormat="1" ht="12" x14ac:dyDescent="0.2">
      <c r="A81" s="14">
        <v>40269</v>
      </c>
      <c r="B81" s="31">
        <v>513886.76</v>
      </c>
      <c r="C81" s="22"/>
      <c r="D81" s="22"/>
      <c r="E81" s="19"/>
    </row>
    <row r="82" spans="1:5" s="5" customFormat="1" ht="12" x14ac:dyDescent="0.2">
      <c r="A82" s="14">
        <v>40299</v>
      </c>
      <c r="B82" s="31">
        <v>541899.39</v>
      </c>
      <c r="C82" s="22"/>
      <c r="D82" s="22"/>
      <c r="E82" s="19"/>
    </row>
    <row r="83" spans="1:5" s="5" customFormat="1" ht="12" x14ac:dyDescent="0.2">
      <c r="A83" s="14">
        <v>40330</v>
      </c>
      <c r="B83" s="31">
        <f>505415.58+13.39+5308.16+240.89+24.89+1865.63+23808.87+155.67+79.9+0.05+1364.15+3109.3</f>
        <v>541386.48000000021</v>
      </c>
      <c r="C83" s="22"/>
      <c r="D83" s="22"/>
      <c r="E83" s="19"/>
    </row>
    <row r="84" spans="1:5" s="5" customFormat="1" ht="12" x14ac:dyDescent="0.2">
      <c r="A84" s="14">
        <v>40360</v>
      </c>
      <c r="B84" s="31">
        <f>607660.6+14.51+6021.39+263.03+27.21+1887+30135.05+149.52+76.83+1491.01+3743.3</f>
        <v>651469.45000000007</v>
      </c>
      <c r="C84" s="22"/>
      <c r="D84" s="22"/>
      <c r="E84" s="19"/>
    </row>
    <row r="85" spans="1:5" s="5" customFormat="1" ht="12" x14ac:dyDescent="0.2">
      <c r="A85" s="14">
        <v>40391</v>
      </c>
      <c r="B85" s="31">
        <f>591054.09+17.91+6939.84+376.64+38.89+2865.46+39275.39+221.09+113.42+2116.48+5263</f>
        <v>648282.21</v>
      </c>
      <c r="C85" s="22"/>
      <c r="D85" s="22"/>
      <c r="E85" s="19"/>
    </row>
    <row r="86" spans="1:5" s="5" customFormat="1" ht="12" x14ac:dyDescent="0.2">
      <c r="A86" s="14">
        <v>40422</v>
      </c>
      <c r="B86" s="31">
        <f>576201.22+19.2+7646.21+303.45+31.35+2221.26+39047.03+185.35+94.3+1828.01</f>
        <v>627577.37999999989</v>
      </c>
      <c r="C86" s="22"/>
      <c r="D86" s="22"/>
      <c r="E86" s="19"/>
    </row>
    <row r="87" spans="1:5" s="5" customFormat="1" ht="12" x14ac:dyDescent="0.2">
      <c r="A87" s="11" t="s">
        <v>30</v>
      </c>
      <c r="B87" s="32">
        <f>SUM(B75:B86)</f>
        <v>6414146.4800000004</v>
      </c>
      <c r="C87" s="23"/>
      <c r="D87" s="23"/>
      <c r="E87" s="19"/>
    </row>
    <row r="88" spans="1:5" x14ac:dyDescent="0.2">
      <c r="A88" s="21"/>
      <c r="B88" s="21"/>
      <c r="C88" s="21"/>
      <c r="D88" s="21"/>
      <c r="E88" s="21"/>
    </row>
    <row r="89" spans="1:5" s="5" customFormat="1" ht="12" x14ac:dyDescent="0.2">
      <c r="A89" s="19"/>
      <c r="B89" s="19"/>
      <c r="C89" s="19"/>
      <c r="D89" s="19"/>
      <c r="E89" s="19"/>
    </row>
    <row r="90" spans="1:5" s="5" customFormat="1" x14ac:dyDescent="0.2">
      <c r="A90" s="19"/>
      <c r="B90" s="208" t="s">
        <v>54</v>
      </c>
      <c r="C90" s="208"/>
      <c r="D90" s="210"/>
      <c r="E90" s="19"/>
    </row>
    <row r="91" spans="1:5" s="5" customFormat="1" ht="12" x14ac:dyDescent="0.2">
      <c r="A91" s="15" t="s">
        <v>1</v>
      </c>
      <c r="B91" s="20" t="s">
        <v>2</v>
      </c>
      <c r="C91" s="20" t="s">
        <v>3</v>
      </c>
      <c r="D91" s="24"/>
      <c r="E91" s="19"/>
    </row>
    <row r="92" spans="1:5" s="5" customFormat="1" ht="12" x14ac:dyDescent="0.2">
      <c r="A92" s="14">
        <v>40087</v>
      </c>
      <c r="B92" s="31">
        <f t="shared" ref="B92:B104" si="7">(B75+B59)/B24</f>
        <v>2.2277164588421772</v>
      </c>
      <c r="C92" s="31">
        <f t="shared" ref="C92:C104" si="8">C59/C24</f>
        <v>0.25724600093551753</v>
      </c>
      <c r="D92" s="34"/>
      <c r="E92" s="19"/>
    </row>
    <row r="93" spans="1:5" s="5" customFormat="1" ht="12" x14ac:dyDescent="0.2">
      <c r="A93" s="14">
        <v>40118</v>
      </c>
      <c r="B93" s="31">
        <f t="shared" si="7"/>
        <v>2.229727570199949</v>
      </c>
      <c r="C93" s="31">
        <f t="shared" si="8"/>
        <v>0.24555064713851155</v>
      </c>
      <c r="D93" s="34"/>
      <c r="E93" s="19"/>
    </row>
    <row r="94" spans="1:5" s="5" customFormat="1" ht="12" x14ac:dyDescent="0.2">
      <c r="A94" s="14">
        <v>40148</v>
      </c>
      <c r="B94" s="31">
        <f t="shared" si="7"/>
        <v>2.2511840212293071</v>
      </c>
      <c r="C94" s="31">
        <f t="shared" si="8"/>
        <v>0.26403317787869418</v>
      </c>
      <c r="D94" s="34"/>
      <c r="E94" s="19"/>
    </row>
    <row r="95" spans="1:5" s="5" customFormat="1" ht="12" x14ac:dyDescent="0.2">
      <c r="A95" s="14">
        <v>40179</v>
      </c>
      <c r="B95" s="31">
        <f t="shared" si="7"/>
        <v>2.138682917000001</v>
      </c>
      <c r="C95" s="31">
        <f t="shared" si="8"/>
        <v>0.24993696079335881</v>
      </c>
      <c r="D95" s="34"/>
      <c r="E95" s="19"/>
    </row>
    <row r="96" spans="1:5" s="5" customFormat="1" ht="12" x14ac:dyDescent="0.2">
      <c r="A96" s="14">
        <v>40210</v>
      </c>
      <c r="B96" s="31">
        <f t="shared" si="7"/>
        <v>2.0444261301809963</v>
      </c>
      <c r="C96" s="31">
        <f t="shared" si="8"/>
        <v>0.25509582902896361</v>
      </c>
      <c r="D96" s="34"/>
      <c r="E96" s="19"/>
    </row>
    <row r="97" spans="1:5" s="5" customFormat="1" ht="12" x14ac:dyDescent="0.2">
      <c r="A97" s="14">
        <v>40238</v>
      </c>
      <c r="B97" s="31">
        <f t="shared" si="7"/>
        <v>2.1065107654857171</v>
      </c>
      <c r="C97" s="31">
        <f t="shared" si="8"/>
        <v>0.25533721389032543</v>
      </c>
      <c r="D97" s="34"/>
      <c r="E97" s="19"/>
    </row>
    <row r="98" spans="1:5" s="5" customFormat="1" ht="12" x14ac:dyDescent="0.2">
      <c r="A98" s="14">
        <v>40269</v>
      </c>
      <c r="B98" s="31">
        <f t="shared" si="7"/>
        <v>2.0949837999188738</v>
      </c>
      <c r="C98" s="31">
        <f t="shared" si="8"/>
        <v>0.28178391964648652</v>
      </c>
      <c r="D98" s="34"/>
      <c r="E98" s="19"/>
    </row>
    <row r="99" spans="1:5" s="5" customFormat="1" ht="12" x14ac:dyDescent="0.2">
      <c r="A99" s="14">
        <v>40299</v>
      </c>
      <c r="B99" s="31">
        <f t="shared" si="7"/>
        <v>2.0843658423731428</v>
      </c>
      <c r="C99" s="31">
        <f t="shared" si="8"/>
        <v>0.30036486507669469</v>
      </c>
      <c r="D99" s="34"/>
      <c r="E99" s="19"/>
    </row>
    <row r="100" spans="1:5" s="5" customFormat="1" ht="12" x14ac:dyDescent="0.2">
      <c r="A100" s="14">
        <v>40330</v>
      </c>
      <c r="B100" s="31">
        <f t="shared" si="7"/>
        <v>2.1958687259256919</v>
      </c>
      <c r="C100" s="31">
        <f t="shared" si="8"/>
        <v>0.31458035531958339</v>
      </c>
      <c r="D100" s="34"/>
      <c r="E100" s="19"/>
    </row>
    <row r="101" spans="1:5" s="5" customFormat="1" ht="12" x14ac:dyDescent="0.2">
      <c r="A101" s="14">
        <v>40360</v>
      </c>
      <c r="B101" s="31">
        <f t="shared" si="7"/>
        <v>2.1727810908019309</v>
      </c>
      <c r="C101" s="31">
        <f t="shared" si="8"/>
        <v>0.31732064487807476</v>
      </c>
      <c r="D101" s="34"/>
      <c r="E101" s="19"/>
    </row>
    <row r="102" spans="1:5" s="5" customFormat="1" ht="12" x14ac:dyDescent="0.2">
      <c r="A102" s="14">
        <v>40391</v>
      </c>
      <c r="B102" s="31">
        <f t="shared" si="7"/>
        <v>2.2549987542244443</v>
      </c>
      <c r="C102" s="31">
        <f t="shared" si="8"/>
        <v>0.30971230770831593</v>
      </c>
      <c r="D102" s="34"/>
      <c r="E102" s="19"/>
    </row>
    <row r="103" spans="1:5" s="5" customFormat="1" ht="12" x14ac:dyDescent="0.2">
      <c r="A103" s="14">
        <v>40422</v>
      </c>
      <c r="B103" s="31">
        <f t="shared" si="7"/>
        <v>2.0406932954573791</v>
      </c>
      <c r="C103" s="31">
        <f t="shared" si="8"/>
        <v>0.31465774780143863</v>
      </c>
      <c r="D103" s="34"/>
      <c r="E103" s="19"/>
    </row>
    <row r="104" spans="1:5" s="5" customFormat="1" ht="12" x14ac:dyDescent="0.2">
      <c r="A104" s="11" t="s">
        <v>30</v>
      </c>
      <c r="B104" s="32">
        <f t="shared" si="7"/>
        <v>2.1530412675577728</v>
      </c>
      <c r="C104" s="32">
        <f t="shared" si="8"/>
        <v>0.28085064039264995</v>
      </c>
      <c r="D104" s="35"/>
      <c r="E104" s="19"/>
    </row>
    <row r="105" spans="1:5" x14ac:dyDescent="0.2">
      <c r="A105" s="21"/>
      <c r="B105" s="21"/>
      <c r="C105" s="21"/>
      <c r="D105" s="21"/>
      <c r="E105" s="21"/>
    </row>
    <row r="106" spans="1:5" x14ac:dyDescent="0.2">
      <c r="A106" s="21"/>
      <c r="B106" s="21"/>
      <c r="C106" s="21"/>
      <c r="D106" s="21"/>
      <c r="E106" s="21"/>
    </row>
    <row r="107" spans="1:5" s="5" customFormat="1" x14ac:dyDescent="0.2">
      <c r="A107" s="19"/>
      <c r="B107" s="208" t="s">
        <v>53</v>
      </c>
      <c r="C107" s="208"/>
      <c r="D107" s="210"/>
      <c r="E107" s="19"/>
    </row>
    <row r="108" spans="1:5" s="5" customFormat="1" ht="12" x14ac:dyDescent="0.2">
      <c r="A108" s="15" t="s">
        <v>1</v>
      </c>
      <c r="B108" s="20" t="s">
        <v>2</v>
      </c>
      <c r="C108" s="94" t="s">
        <v>3</v>
      </c>
      <c r="D108" s="24"/>
      <c r="E108" s="19"/>
    </row>
    <row r="109" spans="1:5" s="5" customFormat="1" ht="12" x14ac:dyDescent="0.2">
      <c r="A109" s="14">
        <v>40087</v>
      </c>
      <c r="B109" s="90">
        <f>B75/3967742</f>
        <v>0.12806996019398439</v>
      </c>
      <c r="C109" s="92"/>
      <c r="D109" s="34"/>
      <c r="E109" s="19"/>
    </row>
    <row r="110" spans="1:5" s="5" customFormat="1" ht="12" x14ac:dyDescent="0.2">
      <c r="A110" s="14">
        <v>40118</v>
      </c>
      <c r="B110" s="90">
        <f>B76/3521961</f>
        <v>0.129638962498449</v>
      </c>
      <c r="C110" s="92"/>
      <c r="D110" s="34"/>
      <c r="E110" s="19"/>
    </row>
    <row r="111" spans="1:5" s="5" customFormat="1" ht="12" x14ac:dyDescent="0.2">
      <c r="A111" s="14">
        <v>40148</v>
      </c>
      <c r="B111" s="90">
        <f>B77/3854270</f>
        <v>0.12999758449719401</v>
      </c>
      <c r="C111" s="92"/>
      <c r="D111" s="34"/>
      <c r="E111" s="19"/>
    </row>
    <row r="112" spans="1:5" s="5" customFormat="1" ht="12" x14ac:dyDescent="0.2">
      <c r="A112" s="14">
        <v>40179</v>
      </c>
      <c r="B112" s="90">
        <f>B78/3640369</f>
        <v>0.13273521722660533</v>
      </c>
      <c r="C112" s="92"/>
      <c r="D112" s="34"/>
      <c r="E112" s="19"/>
    </row>
    <row r="113" spans="1:14" s="5" customFormat="1" ht="12" x14ac:dyDescent="0.2">
      <c r="A113" s="14">
        <v>40210</v>
      </c>
      <c r="B113" s="90">
        <f>B79/3525899</f>
        <v>0.12411191018233933</v>
      </c>
      <c r="C113" s="92"/>
      <c r="D113" s="34"/>
      <c r="E113" s="19"/>
    </row>
    <row r="114" spans="1:14" s="5" customFormat="1" ht="12" x14ac:dyDescent="0.2">
      <c r="A114" s="14">
        <v>40238</v>
      </c>
      <c r="B114" s="90">
        <f>B80/3999312</f>
        <v>0.12578560012322121</v>
      </c>
      <c r="C114" s="92"/>
      <c r="D114" s="34"/>
      <c r="E114" s="19"/>
    </row>
    <row r="115" spans="1:14" s="5" customFormat="1" ht="12" x14ac:dyDescent="0.2">
      <c r="A115" s="14">
        <v>40269</v>
      </c>
      <c r="B115" s="90">
        <f>B81/3973137</f>
        <v>0.12934030716786257</v>
      </c>
      <c r="C115" s="92"/>
      <c r="D115" s="34"/>
      <c r="E115" s="19"/>
    </row>
    <row r="116" spans="1:14" s="5" customFormat="1" ht="12" x14ac:dyDescent="0.2">
      <c r="A116" s="14">
        <v>40299</v>
      </c>
      <c r="B116" s="90">
        <f>B82/4196114</f>
        <v>0.12914315245010027</v>
      </c>
      <c r="C116" s="92"/>
      <c r="D116" s="34"/>
      <c r="E116" s="19"/>
    </row>
    <row r="117" spans="1:14" s="5" customFormat="1" ht="12" x14ac:dyDescent="0.2">
      <c r="A117" s="14">
        <v>40330</v>
      </c>
      <c r="B117" s="90">
        <f>B83/4125601</f>
        <v>0.13122608802935626</v>
      </c>
      <c r="C117" s="92"/>
      <c r="D117" s="34"/>
      <c r="E117" s="19"/>
    </row>
    <row r="118" spans="1:14" s="5" customFormat="1" ht="12" x14ac:dyDescent="0.2">
      <c r="A118" s="14">
        <v>40360</v>
      </c>
      <c r="B118" s="90">
        <f>B84/4504603</f>
        <v>0.14462305557226687</v>
      </c>
      <c r="C118" s="92"/>
      <c r="D118" s="34"/>
      <c r="E118" s="19"/>
    </row>
    <row r="119" spans="1:14" s="5" customFormat="1" ht="12" x14ac:dyDescent="0.2">
      <c r="A119" s="14">
        <v>40391</v>
      </c>
      <c r="B119" s="90">
        <f>B85/4326007</f>
        <v>0.14985694891385981</v>
      </c>
      <c r="C119" s="92"/>
      <c r="D119" s="34"/>
      <c r="E119" s="19"/>
    </row>
    <row r="120" spans="1:14" s="5" customFormat="1" ht="12" x14ac:dyDescent="0.2">
      <c r="A120" s="14">
        <v>40422</v>
      </c>
      <c r="B120" s="90">
        <f>B86/4624321</f>
        <v>0.13571233052376769</v>
      </c>
      <c r="C120" s="92"/>
      <c r="D120" s="34"/>
      <c r="E120" s="19"/>
    </row>
    <row r="121" spans="1:14" s="5" customFormat="1" ht="12" x14ac:dyDescent="0.2">
      <c r="A121" s="11" t="s">
        <v>30</v>
      </c>
      <c r="B121" s="91">
        <f>(B104+B88)/B53+AVERAGE(B109:B120)</f>
        <v>0.15011824997223197</v>
      </c>
      <c r="C121" s="93"/>
      <c r="D121" s="35"/>
      <c r="E121" s="19"/>
    </row>
    <row r="122" spans="1:14" s="5" customFormat="1" ht="12" x14ac:dyDescent="0.2">
      <c r="A122" s="17"/>
      <c r="B122" s="88"/>
      <c r="C122" s="88"/>
      <c r="D122" s="88"/>
      <c r="E122" s="19"/>
    </row>
    <row r="123" spans="1:14" ht="15.75" x14ac:dyDescent="0.25">
      <c r="A123" s="207" t="s">
        <v>14</v>
      </c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5"/>
    </row>
    <row r="125" spans="1:14" x14ac:dyDescent="0.2">
      <c r="A125" s="5"/>
      <c r="B125" s="202" t="s">
        <v>16</v>
      </c>
      <c r="C125" s="202"/>
      <c r="D125" s="202"/>
    </row>
    <row r="126" spans="1:14" ht="24" x14ac:dyDescent="0.2">
      <c r="A126" s="11" t="s">
        <v>1</v>
      </c>
      <c r="B126" s="37" t="s">
        <v>27</v>
      </c>
      <c r="C126" s="37" t="s">
        <v>26</v>
      </c>
      <c r="D126" s="37" t="s">
        <v>25</v>
      </c>
    </row>
    <row r="127" spans="1:14" x14ac:dyDescent="0.2">
      <c r="A127" s="9">
        <v>40087</v>
      </c>
      <c r="B127" s="10">
        <v>0</v>
      </c>
      <c r="C127" s="10">
        <v>1</v>
      </c>
      <c r="D127" s="10">
        <v>1</v>
      </c>
    </row>
    <row r="128" spans="1:14" x14ac:dyDescent="0.2">
      <c r="A128" s="9">
        <v>40118</v>
      </c>
      <c r="B128" s="10">
        <v>2</v>
      </c>
      <c r="C128" s="10">
        <v>37</v>
      </c>
      <c r="D128" s="10">
        <v>39</v>
      </c>
    </row>
    <row r="129" spans="1:17" x14ac:dyDescent="0.2">
      <c r="A129" s="9">
        <v>40148</v>
      </c>
      <c r="B129" s="10">
        <v>1</v>
      </c>
      <c r="C129" s="10">
        <v>21</v>
      </c>
      <c r="D129" s="10">
        <v>22</v>
      </c>
    </row>
    <row r="130" spans="1:17" x14ac:dyDescent="0.2">
      <c r="A130" s="9">
        <v>40179</v>
      </c>
      <c r="B130" s="10">
        <v>2</v>
      </c>
      <c r="C130" s="10">
        <v>5</v>
      </c>
      <c r="D130" s="10">
        <v>7</v>
      </c>
    </row>
    <row r="131" spans="1:17" x14ac:dyDescent="0.2">
      <c r="A131" s="9">
        <v>40210</v>
      </c>
      <c r="B131" s="10">
        <v>2</v>
      </c>
      <c r="C131" s="10">
        <v>49</v>
      </c>
      <c r="D131" s="10">
        <v>51</v>
      </c>
    </row>
    <row r="132" spans="1:17" x14ac:dyDescent="0.2">
      <c r="A132" s="9">
        <v>40238</v>
      </c>
      <c r="B132" s="10">
        <v>7</v>
      </c>
      <c r="C132" s="10">
        <v>36</v>
      </c>
      <c r="D132" s="10">
        <v>52</v>
      </c>
    </row>
    <row r="133" spans="1:17" x14ac:dyDescent="0.2">
      <c r="A133" s="9">
        <v>40269</v>
      </c>
      <c r="B133" s="10">
        <v>8</v>
      </c>
      <c r="C133" s="10">
        <v>92</v>
      </c>
      <c r="D133" s="10">
        <v>104</v>
      </c>
    </row>
    <row r="134" spans="1:17" x14ac:dyDescent="0.2">
      <c r="A134" s="9">
        <v>40299</v>
      </c>
      <c r="B134" s="10">
        <v>1</v>
      </c>
      <c r="C134" s="10">
        <v>31</v>
      </c>
      <c r="D134" s="10">
        <v>32</v>
      </c>
    </row>
    <row r="135" spans="1:17" x14ac:dyDescent="0.2">
      <c r="A135" s="9">
        <v>40330</v>
      </c>
      <c r="B135" s="10">
        <v>3</v>
      </c>
      <c r="C135" s="10">
        <v>11</v>
      </c>
      <c r="D135" s="10">
        <v>14</v>
      </c>
    </row>
    <row r="136" spans="1:17" x14ac:dyDescent="0.2">
      <c r="A136" s="9">
        <v>40360</v>
      </c>
      <c r="B136" s="10">
        <v>2</v>
      </c>
      <c r="C136" s="10">
        <v>5</v>
      </c>
      <c r="D136" s="10">
        <v>11</v>
      </c>
    </row>
    <row r="137" spans="1:17" x14ac:dyDescent="0.2">
      <c r="A137" s="9">
        <v>40391</v>
      </c>
      <c r="B137" s="10">
        <v>1</v>
      </c>
      <c r="C137" s="10">
        <v>50</v>
      </c>
      <c r="D137" s="10">
        <v>51</v>
      </c>
    </row>
    <row r="138" spans="1:17" x14ac:dyDescent="0.2">
      <c r="A138" s="9">
        <v>40422</v>
      </c>
      <c r="B138" s="10">
        <v>0</v>
      </c>
      <c r="C138" s="10">
        <v>133</v>
      </c>
      <c r="D138" s="10">
        <v>133</v>
      </c>
    </row>
    <row r="139" spans="1:17" x14ac:dyDescent="0.2">
      <c r="A139" s="11" t="s">
        <v>30</v>
      </c>
      <c r="B139" s="11">
        <f>SUM(B127:B138)</f>
        <v>29</v>
      </c>
      <c r="C139" s="11">
        <f>SUM(C127:C138)</f>
        <v>471</v>
      </c>
      <c r="D139" s="11">
        <f>SUM(D127:D138)</f>
        <v>517</v>
      </c>
    </row>
    <row r="142" spans="1:17" x14ac:dyDescent="0.2">
      <c r="A142" s="5"/>
      <c r="B142" s="212" t="s">
        <v>39</v>
      </c>
      <c r="C142" s="213"/>
      <c r="D142" s="214"/>
      <c r="O142" s="238"/>
      <c r="P142" s="239"/>
      <c r="Q142" s="239"/>
    </row>
    <row r="143" spans="1:17" x14ac:dyDescent="0.2">
      <c r="A143" s="11" t="s">
        <v>1</v>
      </c>
      <c r="B143" s="37" t="s">
        <v>32</v>
      </c>
      <c r="C143" s="52"/>
      <c r="D143" s="52"/>
      <c r="O143" s="56"/>
      <c r="P143" s="56"/>
      <c r="Q143" s="56"/>
    </row>
    <row r="144" spans="1:17" x14ac:dyDescent="0.2">
      <c r="A144" s="9">
        <v>40452</v>
      </c>
      <c r="B144" s="33">
        <v>5671</v>
      </c>
      <c r="C144" s="53"/>
      <c r="D144" s="53"/>
      <c r="O144" s="50"/>
      <c r="P144" s="50"/>
      <c r="Q144" s="50"/>
    </row>
    <row r="145" spans="1:17" x14ac:dyDescent="0.2">
      <c r="A145" s="9">
        <v>40483</v>
      </c>
      <c r="B145" s="33">
        <v>5730</v>
      </c>
      <c r="C145" s="53"/>
      <c r="D145" s="53"/>
      <c r="O145" s="50"/>
      <c r="P145" s="50"/>
      <c r="Q145" s="50"/>
    </row>
    <row r="146" spans="1:17" x14ac:dyDescent="0.2">
      <c r="A146" s="9">
        <v>40513</v>
      </c>
      <c r="B146" s="33">
        <v>5768</v>
      </c>
      <c r="C146" s="53"/>
      <c r="D146" s="53"/>
      <c r="O146" s="50"/>
      <c r="P146" s="50"/>
      <c r="Q146" s="50"/>
    </row>
    <row r="147" spans="1:17" x14ac:dyDescent="0.2">
      <c r="A147" s="9">
        <v>40544</v>
      </c>
      <c r="B147" s="33">
        <v>5784</v>
      </c>
      <c r="C147" s="53"/>
      <c r="D147" s="53"/>
      <c r="O147" s="50"/>
      <c r="P147" s="50"/>
      <c r="Q147" s="50"/>
    </row>
    <row r="148" spans="1:17" x14ac:dyDescent="0.2">
      <c r="A148" s="9">
        <v>40575</v>
      </c>
      <c r="B148" s="33">
        <v>5824</v>
      </c>
      <c r="C148" s="53"/>
      <c r="D148" s="53"/>
      <c r="O148" s="50"/>
      <c r="P148" s="50"/>
      <c r="Q148" s="50"/>
    </row>
    <row r="149" spans="1:17" x14ac:dyDescent="0.2">
      <c r="A149" s="9">
        <v>40603</v>
      </c>
      <c r="B149" s="33">
        <v>5894</v>
      </c>
      <c r="C149" s="53"/>
      <c r="D149" s="53"/>
      <c r="O149" s="50"/>
      <c r="P149" s="50"/>
      <c r="Q149" s="50"/>
    </row>
    <row r="150" spans="1:17" x14ac:dyDescent="0.2">
      <c r="A150" s="9">
        <v>40634</v>
      </c>
      <c r="B150" s="33">
        <v>5987</v>
      </c>
      <c r="C150" s="53"/>
      <c r="D150" s="53"/>
      <c r="O150" s="50"/>
      <c r="P150" s="50"/>
      <c r="Q150" s="50"/>
    </row>
    <row r="151" spans="1:17" x14ac:dyDescent="0.2">
      <c r="A151" s="9">
        <v>40664</v>
      </c>
      <c r="B151" s="33">
        <v>6048</v>
      </c>
      <c r="C151" s="53"/>
      <c r="D151" s="53"/>
      <c r="O151" s="50"/>
      <c r="P151" s="50"/>
      <c r="Q151" s="50"/>
    </row>
    <row r="152" spans="1:17" x14ac:dyDescent="0.2">
      <c r="A152" s="9">
        <v>40695</v>
      </c>
      <c r="B152" s="33">
        <v>6017</v>
      </c>
      <c r="C152" s="53"/>
      <c r="D152" s="53"/>
      <c r="O152" s="50"/>
      <c r="P152" s="50"/>
      <c r="Q152" s="50"/>
    </row>
    <row r="153" spans="1:17" x14ac:dyDescent="0.2">
      <c r="A153" s="9">
        <v>40725</v>
      </c>
      <c r="B153" s="33">
        <v>5997</v>
      </c>
      <c r="C153" s="53"/>
      <c r="D153" s="53"/>
      <c r="O153" s="50"/>
      <c r="P153" s="50"/>
      <c r="Q153" s="50"/>
    </row>
    <row r="154" spans="1:17" x14ac:dyDescent="0.2">
      <c r="A154" s="9">
        <v>40756</v>
      </c>
      <c r="B154" s="33">
        <v>6064</v>
      </c>
      <c r="C154" s="53"/>
      <c r="D154" s="53"/>
      <c r="O154" s="50"/>
      <c r="P154" s="50"/>
      <c r="Q154" s="50"/>
    </row>
    <row r="155" spans="1:17" x14ac:dyDescent="0.2">
      <c r="A155" s="9">
        <v>40787</v>
      </c>
      <c r="B155" s="33">
        <v>6188</v>
      </c>
      <c r="C155" s="53"/>
      <c r="D155" s="53"/>
      <c r="O155" s="50"/>
      <c r="P155" s="50"/>
      <c r="Q155" s="50"/>
    </row>
    <row r="156" spans="1:17" x14ac:dyDescent="0.2">
      <c r="A156" s="63" t="s">
        <v>37</v>
      </c>
      <c r="B156" s="58">
        <f>AVERAGE(B144:B155)</f>
        <v>5914.333333333333</v>
      </c>
      <c r="C156" s="53"/>
      <c r="D156" s="53"/>
      <c r="O156" s="50"/>
      <c r="P156" s="51"/>
      <c r="Q156" s="51"/>
    </row>
    <row r="157" spans="1:17" x14ac:dyDescent="0.2">
      <c r="O157" s="57"/>
      <c r="P157" s="57"/>
      <c r="Q157" s="57"/>
    </row>
  </sheetData>
  <mergeCells count="15">
    <mergeCell ref="O142:Q142"/>
    <mergeCell ref="B22:D22"/>
    <mergeCell ref="A1:N1"/>
    <mergeCell ref="A2:N2"/>
    <mergeCell ref="A4:N4"/>
    <mergeCell ref="B6:D6"/>
    <mergeCell ref="B125:D125"/>
    <mergeCell ref="A55:N55"/>
    <mergeCell ref="B57:D57"/>
    <mergeCell ref="B73:D73"/>
    <mergeCell ref="B90:D90"/>
    <mergeCell ref="A123:N123"/>
    <mergeCell ref="B39:D39"/>
    <mergeCell ref="B107:D107"/>
    <mergeCell ref="B142:D142"/>
  </mergeCells>
  <phoneticPr fontId="5" type="noConversion"/>
  <printOptions horizontalCentered="1" verticalCentered="1"/>
  <pageMargins left="0.41" right="0.34" top="0.54" bottom="0.56000000000000005" header="0.5" footer="0.5"/>
  <pageSetup scale="64" orientation="landscape" horizontalDpi="4294967293" r:id="rId1"/>
  <headerFooter alignWithMargins="0"/>
  <rowBreaks count="2" manualBreakCount="2">
    <brk id="54" max="16" man="1"/>
    <brk id="122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zoomScale="90" zoomScaleNormal="90" workbookViewId="0">
      <selection activeCell="B16" sqref="B16"/>
    </sheetView>
  </sheetViews>
  <sheetFormatPr defaultRowHeight="12.75" x14ac:dyDescent="0.2"/>
  <cols>
    <col min="1" max="1" width="22.42578125" style="27" customWidth="1"/>
    <col min="2" max="2" width="99" customWidth="1"/>
    <col min="3" max="3" width="63.5703125" bestFit="1" customWidth="1"/>
    <col min="4" max="4" width="35.5703125" customWidth="1"/>
  </cols>
  <sheetData>
    <row r="1" spans="1:4" x14ac:dyDescent="0.2">
      <c r="B1" t="s">
        <v>158</v>
      </c>
    </row>
    <row r="2" spans="1:4" x14ac:dyDescent="0.2">
      <c r="A2" s="36"/>
      <c r="B2" s="8" t="s">
        <v>2</v>
      </c>
      <c r="C2" s="8" t="s">
        <v>3</v>
      </c>
    </row>
    <row r="3" spans="1:4" ht="38.25" x14ac:dyDescent="0.2">
      <c r="A3" s="27" t="s">
        <v>5</v>
      </c>
      <c r="B3" s="197" t="s">
        <v>160</v>
      </c>
      <c r="C3" s="197" t="s">
        <v>162</v>
      </c>
      <c r="D3" s="30"/>
    </row>
    <row r="4" spans="1:4" ht="38.25" x14ac:dyDescent="0.2">
      <c r="A4" s="27" t="s">
        <v>6</v>
      </c>
      <c r="B4" s="197" t="s">
        <v>161</v>
      </c>
      <c r="C4" s="197" t="s">
        <v>163</v>
      </c>
      <c r="D4" s="30"/>
    </row>
    <row r="5" spans="1:4" x14ac:dyDescent="0.2">
      <c r="A5" s="27" t="s">
        <v>29</v>
      </c>
      <c r="B5" s="179" t="s">
        <v>127</v>
      </c>
      <c r="C5" s="179" t="s">
        <v>127</v>
      </c>
      <c r="D5" s="30"/>
    </row>
    <row r="6" spans="1:4" ht="34.5" customHeight="1" x14ac:dyDescent="0.2">
      <c r="A6" s="27" t="s">
        <v>7</v>
      </c>
      <c r="B6" s="179" t="s">
        <v>128</v>
      </c>
      <c r="C6" s="179" t="s">
        <v>164</v>
      </c>
      <c r="D6" s="30"/>
    </row>
    <row r="7" spans="1:4" ht="38.25" x14ac:dyDescent="0.2">
      <c r="A7" s="27" t="s">
        <v>20</v>
      </c>
      <c r="B7" s="179" t="s">
        <v>166</v>
      </c>
      <c r="C7" s="179" t="s">
        <v>165</v>
      </c>
      <c r="D7" s="30"/>
    </row>
    <row r="8" spans="1:4" ht="25.5" x14ac:dyDescent="0.2">
      <c r="A8" s="27" t="s">
        <v>45</v>
      </c>
      <c r="B8" s="179" t="s">
        <v>159</v>
      </c>
      <c r="C8" s="180"/>
      <c r="D8" s="30"/>
    </row>
    <row r="9" spans="1:4" x14ac:dyDescent="0.2">
      <c r="A9" s="27" t="s">
        <v>129</v>
      </c>
      <c r="B9" s="179" t="s">
        <v>127</v>
      </c>
      <c r="C9" s="179" t="s">
        <v>127</v>
      </c>
      <c r="D9" s="30"/>
    </row>
    <row r="10" spans="1:4" x14ac:dyDescent="0.2">
      <c r="A10" s="27" t="s">
        <v>130</v>
      </c>
      <c r="B10" s="179" t="s">
        <v>127</v>
      </c>
      <c r="C10" s="179" t="s">
        <v>127</v>
      </c>
      <c r="D10" s="30"/>
    </row>
    <row r="11" spans="1:4" x14ac:dyDescent="0.2">
      <c r="B11" s="30"/>
      <c r="C11" s="30"/>
      <c r="D11" s="30"/>
    </row>
    <row r="12" spans="1:4" x14ac:dyDescent="0.2">
      <c r="B12" s="30"/>
      <c r="C12" s="30"/>
      <c r="D12" s="30"/>
    </row>
    <row r="13" spans="1:4" x14ac:dyDescent="0.2">
      <c r="A13" s="36"/>
      <c r="B13" s="181" t="s">
        <v>15</v>
      </c>
      <c r="C13" s="181" t="s">
        <v>17</v>
      </c>
      <c r="D13" s="37" t="s">
        <v>22</v>
      </c>
    </row>
    <row r="14" spans="1:4" s="30" customFormat="1" ht="38.25" x14ac:dyDescent="0.2">
      <c r="A14" s="28" t="s">
        <v>16</v>
      </c>
      <c r="B14" s="29" t="s">
        <v>21</v>
      </c>
      <c r="C14" s="29" t="s">
        <v>23</v>
      </c>
      <c r="D14" s="29" t="s">
        <v>24</v>
      </c>
    </row>
    <row r="15" spans="1:4" ht="25.5" x14ac:dyDescent="0.2">
      <c r="A15" s="27" t="s">
        <v>34</v>
      </c>
      <c r="B15" s="29" t="s">
        <v>38</v>
      </c>
      <c r="C15" s="30"/>
      <c r="D15" s="30"/>
    </row>
    <row r="16" spans="1:4" x14ac:dyDescent="0.2">
      <c r="A16" s="27" t="s">
        <v>49</v>
      </c>
      <c r="B16" s="30" t="s">
        <v>75</v>
      </c>
      <c r="C16" s="30"/>
      <c r="D16" s="30"/>
    </row>
    <row r="17" spans="1:4" ht="25.5" x14ac:dyDescent="0.2">
      <c r="A17" s="27" t="s">
        <v>135</v>
      </c>
      <c r="B17" s="30" t="s">
        <v>136</v>
      </c>
      <c r="C17" s="30"/>
      <c r="D17" s="30"/>
    </row>
    <row r="18" spans="1:4" x14ac:dyDescent="0.2">
      <c r="A18" s="27" t="s">
        <v>133</v>
      </c>
      <c r="B18" s="30" t="s">
        <v>134</v>
      </c>
      <c r="C18" s="30"/>
      <c r="D18" s="30"/>
    </row>
    <row r="19" spans="1:4" x14ac:dyDescent="0.2">
      <c r="A19" s="27" t="s">
        <v>131</v>
      </c>
      <c r="B19" s="30" t="s">
        <v>132</v>
      </c>
      <c r="C19" s="30"/>
      <c r="D19" s="30"/>
    </row>
    <row r="22" spans="1:4" x14ac:dyDescent="0.2">
      <c r="A22" s="27" t="s">
        <v>149</v>
      </c>
    </row>
    <row r="23" spans="1:4" x14ac:dyDescent="0.2">
      <c r="A23" s="156" t="s">
        <v>137</v>
      </c>
    </row>
    <row r="24" spans="1:4" x14ac:dyDescent="0.2">
      <c r="A24" s="156" t="s">
        <v>138</v>
      </c>
    </row>
    <row r="25" spans="1:4" x14ac:dyDescent="0.2">
      <c r="A25" s="156" t="s">
        <v>139</v>
      </c>
    </row>
    <row r="26" spans="1:4" x14ac:dyDescent="0.2">
      <c r="A26" s="156" t="s">
        <v>140</v>
      </c>
    </row>
    <row r="27" spans="1:4" x14ac:dyDescent="0.2">
      <c r="A27" s="156" t="s">
        <v>141</v>
      </c>
    </row>
    <row r="28" spans="1:4" x14ac:dyDescent="0.2">
      <c r="A28" s="156" t="s">
        <v>142</v>
      </c>
    </row>
    <row r="29" spans="1:4" x14ac:dyDescent="0.2">
      <c r="A29" s="156" t="s">
        <v>143</v>
      </c>
    </row>
    <row r="30" spans="1:4" x14ac:dyDescent="0.2">
      <c r="A30" s="156" t="s">
        <v>144</v>
      </c>
    </row>
    <row r="31" spans="1:4" x14ac:dyDescent="0.2">
      <c r="A31" s="156" t="s">
        <v>145</v>
      </c>
    </row>
    <row r="32" spans="1:4" x14ac:dyDescent="0.2">
      <c r="A32" s="156" t="s">
        <v>146</v>
      </c>
    </row>
    <row r="33" spans="1:1" x14ac:dyDescent="0.2">
      <c r="A33" s="156" t="s">
        <v>147</v>
      </c>
    </row>
    <row r="34" spans="1:1" x14ac:dyDescent="0.2">
      <c r="A34" s="156" t="s">
        <v>148</v>
      </c>
    </row>
  </sheetData>
  <phoneticPr fontId="5" type="noConversion"/>
  <pageMargins left="0.75" right="0.75" top="1" bottom="1" header="0.5" footer="0.5"/>
  <pageSetup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FY2017</vt:lpstr>
      <vt:lpstr>FY2016</vt:lpstr>
      <vt:lpstr>FY2015</vt:lpstr>
      <vt:lpstr>FY2014</vt:lpstr>
      <vt:lpstr>FY2013</vt:lpstr>
      <vt:lpstr>FY2012</vt:lpstr>
      <vt:lpstr>FY2011</vt:lpstr>
      <vt:lpstr>FY2010</vt:lpstr>
      <vt:lpstr>Instructions</vt:lpstr>
      <vt:lpstr>'FY2010'!Print_Area</vt:lpstr>
      <vt:lpstr>'FY2011'!Print_Area</vt:lpstr>
      <vt:lpstr>'FY2012'!Print_Area</vt:lpstr>
      <vt:lpstr>'FY2013'!Print_Area</vt:lpstr>
      <vt:lpstr>'FY2014'!Print_Area</vt:lpstr>
      <vt:lpstr>'FY2015'!Print_Area</vt:lpstr>
      <vt:lpstr>'FY2010'!Print_Titles</vt:lpstr>
      <vt:lpstr>'FY2011'!Print_Titles</vt:lpstr>
      <vt:lpstr>'FY2012'!Print_Titles</vt:lpstr>
      <vt:lpstr>'FY2013'!Print_Titles</vt:lpstr>
      <vt:lpstr>'FY2014'!Print_Titles</vt:lpstr>
      <vt:lpstr>'FY2015'!Print_Titles</vt:lpstr>
    </vt:vector>
  </TitlesOfParts>
  <Company>User Treasury -FMS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FMS</dc:creator>
  <cp:lastModifiedBy>Richard L. Yancy, Jr.</cp:lastModifiedBy>
  <cp:lastPrinted>2016-09-09T19:47:50Z</cp:lastPrinted>
  <dcterms:created xsi:type="dcterms:W3CDTF">2010-11-04T15:57:01Z</dcterms:created>
  <dcterms:modified xsi:type="dcterms:W3CDTF">2017-08-16T17:31:51Z</dcterms:modified>
</cp:coreProperties>
</file>