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035" windowWidth="12120" windowHeight="8655" activeTab="0"/>
  </bookViews>
  <sheets>
    <sheet name="MTS Quick Link" sheetId="1" r:id="rId1"/>
  </sheets>
  <definedNames>
    <definedName name="_xlnm.Print_Area" localSheetId="0">'MTS Quick Link'!$A$1:$G$480</definedName>
    <definedName name="_xlnm.Print_Titles" localSheetId="0">'MTS Quick Link'!$1:$1</definedName>
  </definedNames>
  <calcPr fullCalcOnLoad="1"/>
</workbook>
</file>

<file path=xl/sharedStrings.xml><?xml version="1.0" encoding="utf-8"?>
<sst xmlns="http://schemas.openxmlformats.org/spreadsheetml/2006/main" count="1396" uniqueCount="344">
  <si>
    <t>Period</t>
  </si>
  <si>
    <t>Receipts</t>
  </si>
  <si>
    <t>Outlays</t>
  </si>
  <si>
    <t>Deficit/Surplus (-)</t>
  </si>
  <si>
    <r>
      <t>r</t>
    </r>
    <r>
      <rPr>
        <sz val="10"/>
        <rFont val="Times New Roman"/>
        <family val="1"/>
      </rPr>
      <t>150,866</t>
    </r>
  </si>
  <si>
    <r>
      <t>r</t>
    </r>
    <r>
      <rPr>
        <sz val="10"/>
        <rFont val="Times New Roman"/>
        <family val="1"/>
      </rPr>
      <t>124,832</t>
    </r>
  </si>
  <si>
    <r>
      <t>r</t>
    </r>
    <r>
      <rPr>
        <sz val="10"/>
        <rFont val="Times New Roman"/>
        <family val="1"/>
      </rPr>
      <t>143,569</t>
    </r>
  </si>
  <si>
    <r>
      <t>r</t>
    </r>
    <r>
      <rPr>
        <sz val="10"/>
        <rFont val="Times New Roman"/>
        <family val="1"/>
      </rPr>
      <t>180,995</t>
    </r>
  </si>
  <si>
    <r>
      <t>r</t>
    </r>
    <r>
      <rPr>
        <sz val="10"/>
        <rFont val="Times New Roman"/>
        <family val="1"/>
      </rPr>
      <t>152,413</t>
    </r>
  </si>
  <si>
    <r>
      <t>r</t>
    </r>
    <r>
      <rPr>
        <sz val="10"/>
        <rFont val="Times New Roman"/>
        <family val="1"/>
      </rPr>
      <t>130,915</t>
    </r>
  </si>
  <si>
    <r>
      <t>r</t>
    </r>
    <r>
      <rPr>
        <sz val="10"/>
        <rFont val="Times New Roman"/>
        <family val="1"/>
      </rPr>
      <t>171,728</t>
    </r>
  </si>
  <si>
    <r>
      <t>r</t>
    </r>
    <r>
      <rPr>
        <sz val="10"/>
        <rFont val="Times New Roman"/>
        <family val="1"/>
      </rPr>
      <t>101,223</t>
    </r>
  </si>
  <si>
    <r>
      <t>r</t>
    </r>
    <r>
      <rPr>
        <sz val="10"/>
        <rFont val="Times New Roman"/>
        <family val="1"/>
      </rPr>
      <t>99,502</t>
    </r>
  </si>
  <si>
    <r>
      <t>r</t>
    </r>
    <r>
      <rPr>
        <sz val="10"/>
        <rFont val="Times New Roman"/>
        <family val="1"/>
      </rPr>
      <t>141,839</t>
    </r>
  </si>
  <si>
    <r>
      <t>r</t>
    </r>
    <r>
      <rPr>
        <sz val="10"/>
        <rFont val="Times New Roman"/>
        <family val="1"/>
      </rPr>
      <t>130,416</t>
    </r>
  </si>
  <si>
    <r>
      <t>r</t>
    </r>
    <r>
      <rPr>
        <sz val="10"/>
        <rFont val="Times New Roman"/>
        <family val="1"/>
      </rPr>
      <t>152,770</t>
    </r>
  </si>
  <si>
    <r>
      <t>r</t>
    </r>
    <r>
      <rPr>
        <sz val="10"/>
        <rFont val="Times New Roman"/>
        <family val="1"/>
      </rPr>
      <t>266,229</t>
    </r>
  </si>
  <si>
    <r>
      <t>r</t>
    </r>
    <r>
      <rPr>
        <sz val="10"/>
        <rFont val="Times New Roman"/>
        <family val="1"/>
      </rPr>
      <t>122,631</t>
    </r>
  </si>
  <si>
    <r>
      <t>r</t>
    </r>
    <r>
      <rPr>
        <sz val="10"/>
        <rFont val="Times New Roman"/>
        <family val="1"/>
      </rPr>
      <t>98,663</t>
    </r>
  </si>
  <si>
    <r>
      <t>r</t>
    </r>
    <r>
      <rPr>
        <sz val="10"/>
        <rFont val="Times New Roman"/>
        <family val="1"/>
      </rPr>
      <t>199,507</t>
    </r>
  </si>
  <si>
    <r>
      <t>r</t>
    </r>
    <r>
      <rPr>
        <sz val="10"/>
        <rFont val="Times New Roman"/>
        <family val="1"/>
      </rPr>
      <t>145,939</t>
    </r>
  </si>
  <si>
    <r>
      <t>r</t>
    </r>
    <r>
      <rPr>
        <sz val="10"/>
        <rFont val="Times New Roman"/>
        <family val="1"/>
      </rPr>
      <t>121,923</t>
    </r>
  </si>
  <si>
    <r>
      <t>r</t>
    </r>
    <r>
      <rPr>
        <sz val="10"/>
        <rFont val="Times New Roman"/>
        <family val="1"/>
      </rPr>
      <t>126324</t>
    </r>
  </si>
  <si>
    <r>
      <t>r</t>
    </r>
    <r>
      <rPr>
        <sz val="10"/>
        <rFont val="Times New Roman"/>
        <family val="1"/>
      </rPr>
      <t>129127</t>
    </r>
  </si>
  <si>
    <r>
      <t>r</t>
    </r>
    <r>
      <rPr>
        <sz val="10"/>
        <rFont val="Times New Roman"/>
        <family val="1"/>
      </rPr>
      <t>200,413</t>
    </r>
  </si>
  <si>
    <r>
      <t>r</t>
    </r>
    <r>
      <rPr>
        <sz val="10"/>
        <rFont val="Times New Roman"/>
        <family val="1"/>
      </rPr>
      <t>142,371</t>
    </r>
  </si>
  <si>
    <r>
      <t>r</t>
    </r>
    <r>
      <rPr>
        <sz val="10"/>
        <rFont val="Times New Roman"/>
        <family val="1"/>
      </rPr>
      <t>147,361</t>
    </r>
  </si>
  <si>
    <r>
      <t>r</t>
    </r>
    <r>
      <rPr>
        <sz val="10"/>
        <rFont val="Times New Roman"/>
        <family val="1"/>
      </rPr>
      <t>148,406</t>
    </r>
  </si>
  <si>
    <r>
      <t>r</t>
    </r>
    <r>
      <rPr>
        <sz val="10"/>
        <rFont val="Times New Roman"/>
        <family val="1"/>
      </rPr>
      <t>295,151</t>
    </r>
  </si>
  <si>
    <r>
      <t>r</t>
    </r>
    <r>
      <rPr>
        <sz val="10"/>
        <rFont val="Times New Roman"/>
        <family val="1"/>
      </rPr>
      <t>135,653</t>
    </r>
  </si>
  <si>
    <r>
      <t>r</t>
    </r>
    <r>
      <rPr>
        <sz val="10"/>
        <rFont val="Times New Roman"/>
        <family val="1"/>
      </rPr>
      <t>158,986</t>
    </r>
  </si>
  <si>
    <r>
      <t>r</t>
    </r>
    <r>
      <rPr>
        <sz val="10"/>
        <rFont val="Times New Roman"/>
        <family val="1"/>
      </rPr>
      <t>129,013</t>
    </r>
  </si>
  <si>
    <r>
      <t>r</t>
    </r>
    <r>
      <rPr>
        <sz val="10"/>
        <rFont val="Times New Roman"/>
        <family val="1"/>
      </rPr>
      <t>153,743</t>
    </r>
  </si>
  <si>
    <r>
      <t>r</t>
    </r>
    <r>
      <rPr>
        <sz val="10"/>
        <rFont val="Times New Roman"/>
        <family val="1"/>
      </rPr>
      <t>219,490</t>
    </r>
  </si>
  <si>
    <r>
      <t>r</t>
    </r>
    <r>
      <rPr>
        <sz val="10"/>
        <rFont val="Times New Roman"/>
        <family val="1"/>
      </rPr>
      <t>135,836</t>
    </r>
  </si>
  <si>
    <r>
      <t>r</t>
    </r>
    <r>
      <rPr>
        <sz val="10"/>
        <rFont val="Times New Roman"/>
        <family val="1"/>
      </rPr>
      <t>147,156</t>
    </r>
  </si>
  <si>
    <r>
      <t>r</t>
    </r>
    <r>
      <rPr>
        <sz val="10"/>
        <rFont val="Times New Roman"/>
        <family val="1"/>
      </rPr>
      <t>130,074</t>
    </r>
  </si>
  <si>
    <r>
      <t>r</t>
    </r>
    <r>
      <rPr>
        <sz val="10"/>
        <rFont val="Times New Roman"/>
        <family val="1"/>
      </rPr>
      <t>125,590</t>
    </r>
  </si>
  <si>
    <r>
      <t>r</t>
    </r>
    <r>
      <rPr>
        <sz val="10"/>
        <rFont val="Times New Roman"/>
        <family val="1"/>
      </rPr>
      <t>158,611</t>
    </r>
  </si>
  <si>
    <r>
      <t>r</t>
    </r>
    <r>
      <rPr>
        <sz val="10"/>
        <rFont val="Times New Roman"/>
        <family val="1"/>
      </rPr>
      <t>123,110</t>
    </r>
  </si>
  <si>
    <r>
      <t>r</t>
    </r>
    <r>
      <rPr>
        <sz val="10"/>
        <rFont val="Times New Roman"/>
        <family val="1"/>
      </rPr>
      <t>125,022</t>
    </r>
  </si>
  <si>
    <r>
      <t>r</t>
    </r>
    <r>
      <rPr>
        <sz val="10"/>
        <rFont val="Times New Roman"/>
        <family val="1"/>
      </rPr>
      <t>153,508</t>
    </r>
  </si>
  <si>
    <r>
      <t>r</t>
    </r>
    <r>
      <rPr>
        <sz val="10"/>
        <rFont val="Times New Roman"/>
        <family val="1"/>
      </rPr>
      <t>164,819</t>
    </r>
  </si>
  <si>
    <r>
      <t>r</t>
    </r>
    <r>
      <rPr>
        <sz val="10"/>
        <rFont val="Times New Roman"/>
        <family val="1"/>
      </rPr>
      <t>159,723</t>
    </r>
  </si>
  <si>
    <r>
      <t>r</t>
    </r>
    <r>
      <rPr>
        <sz val="10"/>
        <rFont val="Times New Roman"/>
        <family val="1"/>
      </rPr>
      <t>192,698</t>
    </r>
  </si>
  <si>
    <r>
      <t>r</t>
    </r>
    <r>
      <rPr>
        <sz val="10"/>
        <rFont val="Times New Roman"/>
        <family val="1"/>
      </rPr>
      <t>150,310</t>
    </r>
  </si>
  <si>
    <r>
      <t>r</t>
    </r>
    <r>
      <rPr>
        <sz val="10"/>
        <rFont val="Times New Roman"/>
        <family val="1"/>
      </rPr>
      <t>124,543</t>
    </r>
  </si>
  <si>
    <r>
      <t>r</t>
    </r>
    <r>
      <rPr>
        <sz val="10"/>
        <rFont val="Times New Roman"/>
        <family val="1"/>
      </rPr>
      <t>178,615</t>
    </r>
  </si>
  <si>
    <r>
      <t>r</t>
    </r>
    <r>
      <rPr>
        <sz val="10"/>
        <rFont val="Times New Roman"/>
        <family val="1"/>
      </rPr>
      <t>120,017</t>
    </r>
  </si>
  <si>
    <r>
      <t>r</t>
    </r>
    <r>
      <rPr>
        <sz val="10"/>
        <rFont val="Times New Roman"/>
        <family val="1"/>
      </rPr>
      <t>178,901</t>
    </r>
  </si>
  <si>
    <r>
      <t>r</t>
    </r>
    <r>
      <rPr>
        <sz val="10"/>
        <rFont val="Times New Roman"/>
        <family val="1"/>
      </rPr>
      <t>182,787</t>
    </r>
  </si>
  <si>
    <r>
      <t>r</t>
    </r>
    <r>
      <rPr>
        <sz val="10"/>
        <rFont val="Times New Roman"/>
        <family val="1"/>
      </rPr>
      <t>187,884</t>
    </r>
  </si>
  <si>
    <r>
      <t>r</t>
    </r>
    <r>
      <rPr>
        <sz val="10"/>
        <rFont val="Times New Roman"/>
        <family val="1"/>
      </rPr>
      <t>177,251</t>
    </r>
  </si>
  <si>
    <r>
      <t>r</t>
    </r>
    <r>
      <rPr>
        <sz val="10"/>
        <rFont val="Times New Roman"/>
        <family val="1"/>
      </rPr>
      <t>89,477</t>
    </r>
  </si>
  <si>
    <r>
      <t>r</t>
    </r>
    <r>
      <rPr>
        <sz val="10"/>
        <rFont val="Times New Roman"/>
        <family val="1"/>
      </rPr>
      <t>186,140</t>
    </r>
  </si>
  <si>
    <r>
      <t>r</t>
    </r>
    <r>
      <rPr>
        <sz val="10"/>
        <rFont val="Times New Roman"/>
        <family val="1"/>
      </rPr>
      <t>120,358</t>
    </r>
  </si>
  <si>
    <r>
      <t>r</t>
    </r>
    <r>
      <rPr>
        <sz val="10"/>
        <rFont val="Times New Roman"/>
        <family val="1"/>
      </rPr>
      <t>179,234</t>
    </r>
  </si>
  <si>
    <r>
      <t>r</t>
    </r>
    <r>
      <rPr>
        <sz val="10"/>
        <rFont val="Times New Roman"/>
        <family val="1"/>
      </rPr>
      <t>231,160</t>
    </r>
  </si>
  <si>
    <r>
      <t>r</t>
    </r>
    <r>
      <rPr>
        <sz val="10"/>
        <rFont val="Times New Roman"/>
        <family val="1"/>
      </rPr>
      <t>180,094</t>
    </r>
  </si>
  <si>
    <r>
      <t>r</t>
    </r>
    <r>
      <rPr>
        <sz val="10"/>
        <rFont val="Times New Roman"/>
        <family val="1"/>
      </rPr>
      <t>103,411</t>
    </r>
  </si>
  <si>
    <r>
      <t>r</t>
    </r>
    <r>
      <rPr>
        <sz val="10"/>
        <rFont val="Times New Roman"/>
        <family val="1"/>
      </rPr>
      <t>192,278</t>
    </r>
  </si>
  <si>
    <r>
      <t>r</t>
    </r>
    <r>
      <rPr>
        <sz val="10"/>
        <rFont val="Times New Roman"/>
        <family val="1"/>
      </rPr>
      <t>193,043</t>
    </r>
  </si>
  <si>
    <r>
      <t>r</t>
    </r>
    <r>
      <rPr>
        <sz val="10"/>
        <rFont val="Times New Roman"/>
        <family val="1"/>
      </rPr>
      <t>171,814</t>
    </r>
  </si>
  <si>
    <r>
      <t>r</t>
    </r>
    <r>
      <rPr>
        <sz val="10"/>
        <rFont val="Times New Roman"/>
        <family val="1"/>
      </rPr>
      <t>123,551</t>
    </r>
  </si>
  <si>
    <r>
      <t>r</t>
    </r>
    <r>
      <rPr>
        <sz val="10"/>
        <rFont val="Times New Roman"/>
        <family val="1"/>
      </rPr>
      <t>177,792</t>
    </r>
  </si>
  <si>
    <r>
      <t>r</t>
    </r>
    <r>
      <rPr>
        <sz val="10"/>
        <rFont val="Times New Roman"/>
        <family val="1"/>
      </rPr>
      <t>114,243</t>
    </r>
  </si>
  <si>
    <r>
      <t>r</t>
    </r>
    <r>
      <rPr>
        <sz val="10"/>
        <rFont val="Times New Roman"/>
        <family val="1"/>
      </rPr>
      <t>190,830</t>
    </r>
  </si>
  <si>
    <r>
      <t>r</t>
    </r>
    <r>
      <rPr>
        <sz val="10"/>
        <rFont val="Times New Roman"/>
        <family val="1"/>
      </rPr>
      <t>191,632</t>
    </r>
  </si>
  <si>
    <r>
      <t>r</t>
    </r>
    <r>
      <rPr>
        <sz val="10"/>
        <rFont val="Times New Roman"/>
        <family val="1"/>
      </rPr>
      <t>168,229</t>
    </r>
  </si>
  <si>
    <r>
      <t>r</t>
    </r>
    <r>
      <rPr>
        <sz val="10"/>
        <rFont val="Times New Roman"/>
        <family val="1"/>
      </rPr>
      <t>135,825</t>
    </r>
  </si>
  <si>
    <r>
      <t>r</t>
    </r>
    <r>
      <rPr>
        <sz val="10"/>
        <rFont val="Times New Roman"/>
        <family val="1"/>
      </rPr>
      <t>205,370</t>
    </r>
  </si>
  <si>
    <r>
      <t>r</t>
    </r>
    <r>
      <rPr>
        <sz val="10"/>
        <rFont val="Times New Roman"/>
        <family val="1"/>
      </rPr>
      <t>136,896</t>
    </r>
  </si>
  <si>
    <r>
      <t>r</t>
    </r>
    <r>
      <rPr>
        <sz val="10"/>
        <rFont val="Times New Roman"/>
        <family val="1"/>
      </rPr>
      <t>193,514</t>
    </r>
  </si>
  <si>
    <r>
      <t>r</t>
    </r>
    <r>
      <rPr>
        <sz val="10"/>
        <rFont val="Times New Roman"/>
        <family val="1"/>
      </rPr>
      <t>56,618</t>
    </r>
  </si>
  <si>
    <r>
      <t>r</t>
    </r>
    <r>
      <rPr>
        <sz val="10"/>
        <rFont val="Times New Roman"/>
        <family val="1"/>
      </rPr>
      <t>134,547</t>
    </r>
  </si>
  <si>
    <r>
      <t>r</t>
    </r>
    <r>
      <rPr>
        <sz val="10"/>
        <rFont val="Times New Roman"/>
        <family val="1"/>
      </rPr>
      <t>191,717</t>
    </r>
  </si>
  <si>
    <r>
      <t>r</t>
    </r>
    <r>
      <rPr>
        <sz val="10"/>
        <rFont val="Times New Roman"/>
        <family val="1"/>
      </rPr>
      <t>57,170</t>
    </r>
  </si>
  <si>
    <r>
      <t>r</t>
    </r>
    <r>
      <rPr>
        <sz val="10"/>
        <rFont val="Times New Roman"/>
        <family val="1"/>
      </rPr>
      <t>204,370</t>
    </r>
  </si>
  <si>
    <r>
      <t>r</t>
    </r>
    <r>
      <rPr>
        <sz val="10"/>
        <rFont val="Times New Roman"/>
        <family val="1"/>
      </rPr>
      <t>185,169</t>
    </r>
  </si>
  <si>
    <r>
      <t>r</t>
    </r>
    <r>
      <rPr>
        <sz val="10"/>
        <rFont val="Times New Roman"/>
        <family val="1"/>
      </rPr>
      <t>92,009</t>
    </r>
  </si>
  <si>
    <r>
      <t>r</t>
    </r>
    <r>
      <rPr>
        <sz val="10"/>
        <rFont val="Times New Roman"/>
        <family val="1"/>
      </rPr>
      <t>132,425</t>
    </r>
  </si>
  <si>
    <r>
      <t>r</t>
    </r>
    <r>
      <rPr>
        <sz val="10"/>
        <rFont val="Times New Roman"/>
        <family val="1"/>
      </rPr>
      <t>186,802</t>
    </r>
  </si>
  <si>
    <r>
      <t>r</t>
    </r>
    <r>
      <rPr>
        <sz val="10"/>
        <rFont val="Times New Roman"/>
        <family val="1"/>
      </rPr>
      <t>188,709</t>
    </r>
  </si>
  <si>
    <r>
      <t>r</t>
    </r>
    <r>
      <rPr>
        <sz val="10"/>
        <rFont val="Times New Roman"/>
        <family val="1"/>
      </rPr>
      <t>205,337</t>
    </r>
  </si>
  <si>
    <r>
      <t>r</t>
    </r>
    <r>
      <rPr>
        <sz val="10"/>
        <rFont val="Times New Roman"/>
        <family val="1"/>
      </rPr>
      <t>202,513</t>
    </r>
  </si>
  <si>
    <r>
      <t>r</t>
    </r>
    <r>
      <rPr>
        <sz val="10"/>
        <rFont val="Times New Roman"/>
        <family val="1"/>
      </rPr>
      <t>177,913</t>
    </r>
  </si>
  <si>
    <r>
      <t>r</t>
    </r>
    <r>
      <rPr>
        <sz val="10"/>
        <rFont val="Times New Roman"/>
        <family val="1"/>
      </rPr>
      <t>195,258</t>
    </r>
  </si>
  <si>
    <r>
      <t>r</t>
    </r>
    <r>
      <rPr>
        <sz val="10"/>
        <rFont val="Times New Roman"/>
        <family val="1"/>
      </rPr>
      <t>178,861</t>
    </r>
  </si>
  <si>
    <r>
      <t>r</t>
    </r>
    <r>
      <rPr>
        <sz val="10"/>
        <rFont val="Times New Roman"/>
        <family val="1"/>
      </rPr>
      <t>182,740</t>
    </r>
  </si>
  <si>
    <r>
      <t>r</t>
    </r>
    <r>
      <rPr>
        <sz val="10"/>
        <rFont val="Times New Roman"/>
        <family val="1"/>
      </rPr>
      <t>207,351</t>
    </r>
  </si>
  <si>
    <r>
      <t>r</t>
    </r>
    <r>
      <rPr>
        <sz val="10"/>
        <rFont val="Times New Roman"/>
        <family val="1"/>
      </rPr>
      <t>100,871</t>
    </r>
  </si>
  <si>
    <r>
      <t>r</t>
    </r>
    <r>
      <rPr>
        <sz val="10"/>
        <rFont val="Times New Roman"/>
        <family val="1"/>
      </rPr>
      <t>148,759</t>
    </r>
  </si>
  <si>
    <r>
      <t>r</t>
    </r>
    <r>
      <rPr>
        <sz val="10"/>
        <rFont val="Times New Roman"/>
        <family val="1"/>
      </rPr>
      <t>277,614</t>
    </r>
  </si>
  <si>
    <r>
      <t>r</t>
    </r>
    <r>
      <rPr>
        <sz val="10"/>
        <rFont val="Times New Roman"/>
        <family val="1"/>
      </rPr>
      <t>234,808</t>
    </r>
  </si>
  <si>
    <r>
      <t>r</t>
    </r>
    <r>
      <rPr>
        <sz val="10"/>
        <rFont val="Times New Roman"/>
        <family val="1"/>
      </rPr>
      <t>214,660</t>
    </r>
  </si>
  <si>
    <r>
      <t>r</t>
    </r>
    <r>
      <rPr>
        <sz val="10"/>
        <rFont val="Times New Roman"/>
        <family val="1"/>
      </rPr>
      <t>-8,106</t>
    </r>
  </si>
  <si>
    <r>
      <t>r</t>
    </r>
    <r>
      <rPr>
        <sz val="10"/>
        <rFont val="Times New Roman"/>
        <family val="1"/>
      </rPr>
      <t>113,789</t>
    </r>
  </si>
  <si>
    <r>
      <t>r</t>
    </r>
    <r>
      <rPr>
        <sz val="10"/>
        <rFont val="Times New Roman"/>
        <family val="1"/>
      </rPr>
      <t>220,483</t>
    </r>
  </si>
  <si>
    <r>
      <t>r</t>
    </r>
    <r>
      <rPr>
        <sz val="10"/>
        <rFont val="Times New Roman"/>
        <family val="1"/>
      </rPr>
      <t>71,724</t>
    </r>
  </si>
  <si>
    <r>
      <t>r</t>
    </r>
    <r>
      <rPr>
        <sz val="10"/>
        <rFont val="Times New Roman"/>
        <family val="1"/>
      </rPr>
      <t>219,690</t>
    </r>
  </si>
  <si>
    <r>
      <t>r</t>
    </r>
    <r>
      <rPr>
        <sz val="10"/>
        <rFont val="Times New Roman"/>
        <family val="1"/>
      </rPr>
      <t>-57,924</t>
    </r>
  </si>
  <si>
    <r>
      <t>r</t>
    </r>
    <r>
      <rPr>
        <sz val="10"/>
        <rFont val="Times New Roman"/>
        <family val="1"/>
      </rPr>
      <t>188,920</t>
    </r>
  </si>
  <si>
    <r>
      <t>r</t>
    </r>
    <r>
      <rPr>
        <sz val="10"/>
        <rFont val="Times New Roman"/>
        <family val="1"/>
      </rPr>
      <t>36,190</t>
    </r>
  </si>
  <si>
    <r>
      <t>r</t>
    </r>
    <r>
      <rPr>
        <sz val="10"/>
        <rFont val="Times New Roman"/>
        <family val="1"/>
      </rPr>
      <t>212,335</t>
    </r>
  </si>
  <si>
    <r>
      <t>r</t>
    </r>
    <r>
      <rPr>
        <sz val="10"/>
        <rFont val="Times New Roman"/>
        <family val="1"/>
      </rPr>
      <t>-22,473</t>
    </r>
  </si>
  <si>
    <r>
      <t>r</t>
    </r>
    <r>
      <rPr>
        <sz val="10"/>
        <rFont val="Times New Roman"/>
        <family val="1"/>
      </rPr>
      <t>195,487</t>
    </r>
  </si>
  <si>
    <r>
      <t>r</t>
    </r>
    <r>
      <rPr>
        <sz val="10"/>
        <rFont val="Times New Roman"/>
        <family val="1"/>
      </rPr>
      <t>53,395</t>
    </r>
  </si>
  <si>
    <r>
      <t>r</t>
    </r>
    <r>
      <rPr>
        <sz val="10"/>
        <rFont val="Times New Roman"/>
        <family val="1"/>
      </rPr>
      <t>206,474</t>
    </r>
  </si>
  <si>
    <r>
      <t>r</t>
    </r>
    <r>
      <rPr>
        <sz val="10"/>
        <rFont val="Times New Roman"/>
        <family val="1"/>
      </rPr>
      <t>51,036</t>
    </r>
  </si>
  <si>
    <r>
      <t>r</t>
    </r>
    <r>
      <rPr>
        <sz val="10"/>
        <rFont val="Times New Roman"/>
        <family val="1"/>
      </rPr>
      <t>216,394</t>
    </r>
  </si>
  <si>
    <r>
      <t>r</t>
    </r>
    <r>
      <rPr>
        <sz val="10"/>
        <rFont val="Times New Roman"/>
        <family val="1"/>
      </rPr>
      <t>-35,234</t>
    </r>
  </si>
  <si>
    <r>
      <t>r</t>
    </r>
    <r>
      <rPr>
        <sz val="10"/>
        <rFont val="Times New Roman"/>
        <family val="1"/>
      </rPr>
      <t>196,764</t>
    </r>
  </si>
  <si>
    <r>
      <t>r</t>
    </r>
    <r>
      <rPr>
        <sz val="10"/>
        <rFont val="Times New Roman"/>
        <family val="1"/>
      </rPr>
      <t>47,277</t>
    </r>
  </si>
  <si>
    <r>
      <t>r</t>
    </r>
    <r>
      <rPr>
        <sz val="10"/>
        <rFont val="Times New Roman"/>
        <family val="1"/>
      </rPr>
      <t>221,911</t>
    </r>
  </si>
  <si>
    <r>
      <t>r</t>
    </r>
    <r>
      <rPr>
        <sz val="10"/>
        <rFont val="Times New Roman"/>
        <family val="1"/>
      </rPr>
      <t>83,072</t>
    </r>
  </si>
  <si>
    <r>
      <t>r</t>
    </r>
    <r>
      <rPr>
        <sz val="10"/>
        <rFont val="Times New Roman"/>
        <family val="1"/>
      </rPr>
      <t>-10,967</t>
    </r>
  </si>
  <si>
    <r>
      <t>r</t>
    </r>
    <r>
      <rPr>
        <sz val="10"/>
        <rFont val="Times New Roman"/>
        <family val="1"/>
      </rPr>
      <t>209,045</t>
    </r>
  </si>
  <si>
    <r>
      <t>r</t>
    </r>
    <r>
      <rPr>
        <sz val="10"/>
        <rFont val="Times New Roman"/>
        <family val="1"/>
      </rPr>
      <t>-20,964</t>
    </r>
  </si>
  <si>
    <r>
      <t>r</t>
    </r>
    <r>
      <rPr>
        <sz val="10"/>
        <rFont val="Times New Roman"/>
        <family val="1"/>
      </rPr>
      <t>232,091</t>
    </r>
  </si>
  <si>
    <r>
      <t>r</t>
    </r>
    <r>
      <rPr>
        <sz val="10"/>
        <rFont val="Times New Roman"/>
        <family val="1"/>
      </rPr>
      <t>119,237</t>
    </r>
  </si>
  <si>
    <r>
      <t>r</t>
    </r>
    <r>
      <rPr>
        <sz val="10"/>
        <rFont val="Times New Roman"/>
        <family val="1"/>
      </rPr>
      <t>249,843</t>
    </r>
  </si>
  <si>
    <r>
      <t>r</t>
    </r>
    <r>
      <rPr>
        <sz val="10"/>
        <rFont val="Times New Roman"/>
        <family val="1"/>
      </rPr>
      <t>85,281</t>
    </r>
  </si>
  <si>
    <r>
      <t>r</t>
    </r>
    <r>
      <rPr>
        <sz val="10"/>
        <rFont val="Times New Roman"/>
        <family val="1"/>
      </rPr>
      <t>196,249</t>
    </r>
  </si>
  <si>
    <r>
      <t>r</t>
    </r>
    <r>
      <rPr>
        <sz val="10"/>
        <rFont val="Times New Roman"/>
        <family val="1"/>
      </rPr>
      <t>-118,841</t>
    </r>
  </si>
  <si>
    <r>
      <t>r</t>
    </r>
    <r>
      <rPr>
        <sz val="10"/>
        <rFont val="Times New Roman"/>
        <family val="1"/>
      </rPr>
      <t>235,564</t>
    </r>
  </si>
  <si>
    <r>
      <t>r</t>
    </r>
    <r>
      <rPr>
        <sz val="10"/>
        <rFont val="Times New Roman"/>
        <family val="1"/>
      </rPr>
      <t>42,907</t>
    </r>
  </si>
  <si>
    <r>
      <t>r</t>
    </r>
    <r>
      <rPr>
        <sz val="10"/>
        <rFont val="Times New Roman"/>
        <family val="1"/>
      </rPr>
      <t>-20,517</t>
    </r>
  </si>
  <si>
    <r>
      <t>r</t>
    </r>
    <r>
      <rPr>
        <sz val="10"/>
        <rFont val="Times New Roman"/>
        <family val="1"/>
      </rPr>
      <t>192,925</t>
    </r>
  </si>
  <si>
    <r>
      <t>r</t>
    </r>
    <r>
      <rPr>
        <sz val="10"/>
        <rFont val="Times New Roman"/>
        <family val="1"/>
      </rPr>
      <t>33,164</t>
    </r>
  </si>
  <si>
    <r>
      <t>r</t>
    </r>
    <r>
      <rPr>
        <sz val="10"/>
        <rFont val="Times New Roman"/>
        <family val="1"/>
      </rPr>
      <t>218,595</t>
    </r>
  </si>
  <si>
    <r>
      <t>r</t>
    </r>
    <r>
      <rPr>
        <sz val="10"/>
        <rFont val="Times New Roman"/>
        <family val="1"/>
      </rPr>
      <t>64,717</t>
    </r>
  </si>
  <si>
    <r>
      <t>r</t>
    </r>
    <r>
      <rPr>
        <sz val="10"/>
        <rFont val="Times New Roman"/>
        <family val="1"/>
      </rPr>
      <t>227,131</t>
    </r>
  </si>
  <si>
    <r>
      <t>r</t>
    </r>
    <r>
      <rPr>
        <sz val="10"/>
        <rFont val="Times New Roman"/>
        <family val="1"/>
      </rPr>
      <t>-56,167</t>
    </r>
  </si>
  <si>
    <r>
      <t>r</t>
    </r>
    <r>
      <rPr>
        <sz val="10"/>
        <rFont val="Times New Roman"/>
        <family val="1"/>
      </rPr>
      <t>172,488</t>
    </r>
  </si>
  <si>
    <r>
      <t>r</t>
    </r>
    <r>
      <rPr>
        <sz val="10"/>
        <rFont val="Times New Roman"/>
        <family val="1"/>
      </rPr>
      <t>-112,866</t>
    </r>
  </si>
  <si>
    <r>
      <t>r</t>
    </r>
    <r>
      <rPr>
        <sz val="10"/>
        <rFont val="Times New Roman"/>
        <family val="1"/>
      </rPr>
      <t>235,014</t>
    </r>
  </si>
  <si>
    <r>
      <t>r</t>
    </r>
    <r>
      <rPr>
        <sz val="10"/>
        <rFont val="Times New Roman"/>
        <family val="1"/>
      </rPr>
      <t>226,365</t>
    </r>
  </si>
  <si>
    <r>
      <t>r</t>
    </r>
    <r>
      <rPr>
        <sz val="10"/>
        <rFont val="Times New Roman"/>
        <family val="1"/>
      </rPr>
      <t>-33,547</t>
    </r>
  </si>
  <si>
    <r>
      <t>r</t>
    </r>
    <r>
      <rPr>
        <sz val="10"/>
        <rFont val="Times New Roman"/>
        <family val="1"/>
      </rPr>
      <t>272,228</t>
    </r>
  </si>
  <si>
    <r>
      <t>r</t>
    </r>
    <r>
      <rPr>
        <sz val="10"/>
        <rFont val="Times New Roman"/>
        <family val="1"/>
      </rPr>
      <t>226,494</t>
    </r>
  </si>
  <si>
    <r>
      <t>r</t>
    </r>
    <r>
      <rPr>
        <sz val="10"/>
        <rFont val="Times New Roman"/>
        <family val="1"/>
      </rPr>
      <t>-45,734</t>
    </r>
  </si>
  <si>
    <r>
      <t>r</t>
    </r>
    <r>
      <rPr>
        <sz val="10"/>
        <rFont val="Times New Roman"/>
        <family val="1"/>
      </rPr>
      <t>125,201</t>
    </r>
  </si>
  <si>
    <r>
      <t>r</t>
    </r>
    <r>
      <rPr>
        <sz val="10"/>
        <rFont val="Times New Roman"/>
        <family val="1"/>
      </rPr>
      <t>51,754</t>
    </r>
  </si>
  <si>
    <r>
      <t>r</t>
    </r>
    <r>
      <rPr>
        <sz val="10"/>
        <rFont val="Times New Roman"/>
        <family val="1"/>
      </rPr>
      <t>63,457</t>
    </r>
  </si>
  <si>
    <r>
      <t>r</t>
    </r>
    <r>
      <rPr>
        <sz val="10"/>
        <rFont val="Times New Roman"/>
        <family val="1"/>
      </rPr>
      <t>193,859</t>
    </r>
  </si>
  <si>
    <r>
      <t>r</t>
    </r>
    <r>
      <rPr>
        <sz val="10"/>
        <rFont val="Times New Roman"/>
        <family val="1"/>
      </rPr>
      <t>191,589</t>
    </r>
  </si>
  <si>
    <r>
      <t>r</t>
    </r>
    <r>
      <rPr>
        <sz val="10"/>
        <rFont val="Times New Roman"/>
        <family val="1"/>
      </rPr>
      <t>20,907</t>
    </r>
  </si>
  <si>
    <r>
      <t>r</t>
    </r>
    <r>
      <rPr>
        <sz val="10"/>
        <rFont val="Times New Roman"/>
        <family val="1"/>
      </rPr>
      <t>189,651</t>
    </r>
  </si>
  <si>
    <r>
      <t>r</t>
    </r>
    <r>
      <rPr>
        <sz val="10"/>
        <rFont val="Times New Roman"/>
        <family val="1"/>
      </rPr>
      <t>94,332</t>
    </r>
  </si>
  <si>
    <r>
      <t>r</t>
    </r>
    <r>
      <rPr>
        <sz val="10"/>
        <rFont val="Times New Roman"/>
        <family val="1"/>
      </rPr>
      <t>180,680</t>
    </r>
  </si>
  <si>
    <r>
      <t>r</t>
    </r>
    <r>
      <rPr>
        <sz val="10"/>
        <rFont val="Times New Roman"/>
        <family val="1"/>
      </rPr>
      <t>103,555</t>
    </r>
  </si>
  <si>
    <r>
      <t>r</t>
    </r>
    <r>
      <rPr>
        <sz val="10"/>
        <rFont val="Times New Roman"/>
        <family val="1"/>
      </rPr>
      <t>-49,940</t>
    </r>
  </si>
  <si>
    <r>
      <t>r</t>
    </r>
    <r>
      <rPr>
        <sz val="10"/>
        <rFont val="Times New Roman"/>
        <family val="1"/>
      </rPr>
      <t>35,968</t>
    </r>
  </si>
  <si>
    <r>
      <t>r</t>
    </r>
    <r>
      <rPr>
        <sz val="10"/>
        <rFont val="Times New Roman"/>
        <family val="1"/>
      </rPr>
      <t>38,779</t>
    </r>
  </si>
  <si>
    <r>
      <t>r</t>
    </r>
    <r>
      <rPr>
        <sz val="10"/>
        <rFont val="Times New Roman"/>
        <family val="1"/>
      </rPr>
      <t>-37,425</t>
    </r>
  </si>
  <si>
    <r>
      <t>r</t>
    </r>
    <r>
      <rPr>
        <sz val="10"/>
        <rFont val="Times New Roman"/>
        <family val="1"/>
      </rPr>
      <t>32,440</t>
    </r>
  </si>
  <si>
    <r>
      <t>r</t>
    </r>
    <r>
      <rPr>
        <sz val="10"/>
        <rFont val="Times New Roman"/>
        <family val="1"/>
      </rPr>
      <t>16,937</t>
    </r>
  </si>
  <si>
    <r>
      <t>r</t>
    </r>
    <r>
      <rPr>
        <sz val="10"/>
        <rFont val="Times New Roman"/>
        <family val="1"/>
      </rPr>
      <t>22,409</t>
    </r>
  </si>
  <si>
    <r>
      <t>r</t>
    </r>
    <r>
      <rPr>
        <sz val="10"/>
        <rFont val="Times New Roman"/>
        <family val="1"/>
      </rPr>
      <t>42,337</t>
    </r>
  </si>
  <si>
    <r>
      <t>r</t>
    </r>
    <r>
      <rPr>
        <sz val="10"/>
        <rFont val="Times New Roman"/>
        <family val="1"/>
      </rPr>
      <t>-70,505</t>
    </r>
  </si>
  <si>
    <r>
      <t>r</t>
    </r>
    <r>
      <rPr>
        <sz val="10"/>
        <rFont val="Times New Roman"/>
        <family val="1"/>
      </rPr>
      <t>5,156</t>
    </r>
  </si>
  <si>
    <r>
      <t>r</t>
    </r>
    <r>
      <rPr>
        <sz val="10"/>
        <rFont val="Times New Roman"/>
        <family val="1"/>
      </rPr>
      <t>2,803</t>
    </r>
  </si>
  <si>
    <r>
      <t>r</t>
    </r>
    <r>
      <rPr>
        <sz val="10"/>
        <rFont val="Times New Roman"/>
        <family val="1"/>
      </rPr>
      <t>-58,042</t>
    </r>
  </si>
  <si>
    <r>
      <t>r</t>
    </r>
    <r>
      <rPr>
        <sz val="10"/>
        <rFont val="Times New Roman"/>
        <family val="1"/>
      </rPr>
      <t>26,326</t>
    </r>
  </si>
  <si>
    <r>
      <t>r</t>
    </r>
    <r>
      <rPr>
        <sz val="10"/>
        <rFont val="Times New Roman"/>
        <family val="1"/>
      </rPr>
      <t>187,858</t>
    </r>
  </si>
  <si>
    <r>
      <t>r</t>
    </r>
    <r>
      <rPr>
        <sz val="10"/>
        <rFont val="Times New Roman"/>
        <family val="1"/>
      </rPr>
      <t>136,752</t>
    </r>
  </si>
  <si>
    <r>
      <t>r</t>
    </r>
    <r>
      <rPr>
        <sz val="10"/>
        <rFont val="Times New Roman"/>
        <family val="1"/>
      </rPr>
      <t>183,803</t>
    </r>
  </si>
  <si>
    <r>
      <t>r</t>
    </r>
    <r>
      <rPr>
        <sz val="10"/>
        <rFont val="Times New Roman"/>
        <family val="1"/>
      </rPr>
      <t>152,825</t>
    </r>
  </si>
  <si>
    <r>
      <t>r</t>
    </r>
    <r>
      <rPr>
        <sz val="10"/>
        <rFont val="Times New Roman"/>
        <family val="1"/>
      </rPr>
      <t>147,086</t>
    </r>
  </si>
  <si>
    <r>
      <t>r</t>
    </r>
    <r>
      <rPr>
        <sz val="10"/>
        <rFont val="Times New Roman"/>
        <family val="1"/>
      </rPr>
      <t>42,971</t>
    </r>
  </si>
  <si>
    <r>
      <t>r</t>
    </r>
    <r>
      <rPr>
        <sz val="10"/>
        <rFont val="Times New Roman"/>
        <family val="1"/>
      </rPr>
      <t>17,640</t>
    </r>
  </si>
  <si>
    <r>
      <t>r</t>
    </r>
    <r>
      <rPr>
        <sz val="10"/>
        <rFont val="Times New Roman"/>
        <family val="1"/>
      </rPr>
      <t>1,633</t>
    </r>
  </si>
  <si>
    <r>
      <t>r</t>
    </r>
    <r>
      <rPr>
        <sz val="10"/>
        <rFont val="Times New Roman"/>
        <family val="1"/>
      </rPr>
      <t>96,701</t>
    </r>
  </si>
  <si>
    <r>
      <t>r</t>
    </r>
    <r>
      <rPr>
        <sz val="10"/>
        <rFont val="Times New Roman"/>
        <family val="1"/>
      </rPr>
      <t>72,913</t>
    </r>
  </si>
  <si>
    <r>
      <t>r</t>
    </r>
    <r>
      <rPr>
        <sz val="10"/>
        <rFont val="Times New Roman"/>
        <family val="1"/>
      </rPr>
      <t>-17,578</t>
    </r>
  </si>
  <si>
    <r>
      <t>r</t>
    </r>
    <r>
      <rPr>
        <sz val="10"/>
        <rFont val="Times New Roman"/>
        <family val="1"/>
      </rPr>
      <t>62,463</t>
    </r>
  </si>
  <si>
    <r>
      <t>r</t>
    </r>
    <r>
      <rPr>
        <sz val="10"/>
        <rFont val="Times New Roman"/>
        <family val="1"/>
      </rPr>
      <t>-19,124</t>
    </r>
  </si>
  <si>
    <r>
      <t>r</t>
    </r>
    <r>
      <rPr>
        <sz val="10"/>
        <rFont val="Times New Roman"/>
        <family val="1"/>
      </rPr>
      <t>41,132</t>
    </r>
  </si>
  <si>
    <r>
      <t>r</t>
    </r>
    <r>
      <rPr>
        <sz val="10"/>
        <rFont val="Times New Roman"/>
        <family val="1"/>
      </rPr>
      <t>-24,611</t>
    </r>
  </si>
  <si>
    <r>
      <t>r</t>
    </r>
    <r>
      <rPr>
        <sz val="10"/>
        <rFont val="Times New Roman"/>
        <family val="1"/>
      </rPr>
      <t>194,111</t>
    </r>
  </si>
  <si>
    <r>
      <t>r</t>
    </r>
    <r>
      <rPr>
        <sz val="10"/>
        <rFont val="Times New Roman"/>
        <family val="1"/>
      </rPr>
      <t>230,916</t>
    </r>
  </si>
  <si>
    <r>
      <t>r</t>
    </r>
    <r>
      <rPr>
        <sz val="10"/>
        <rFont val="Times New Roman"/>
        <family val="1"/>
      </rPr>
      <t>243,838</t>
    </r>
  </si>
  <si>
    <r>
      <t>r</t>
    </r>
    <r>
      <rPr>
        <sz val="10"/>
        <rFont val="Times New Roman"/>
        <family val="1"/>
      </rPr>
      <t>56,838</t>
    </r>
  </si>
  <si>
    <r>
      <t>r</t>
    </r>
    <r>
      <rPr>
        <sz val="10"/>
        <rFont val="Times New Roman"/>
        <family val="1"/>
      </rPr>
      <t>73,811</t>
    </r>
  </si>
  <si>
    <r>
      <t>r</t>
    </r>
    <r>
      <rPr>
        <sz val="10"/>
        <rFont val="Times New Roman"/>
        <family val="1"/>
      </rPr>
      <t>74,575</t>
    </r>
  </si>
  <si>
    <r>
      <t>r</t>
    </r>
    <r>
      <rPr>
        <sz val="10"/>
        <rFont val="Times New Roman"/>
        <family val="1"/>
      </rPr>
      <t>764</t>
    </r>
  </si>
  <si>
    <r>
      <t>r</t>
    </r>
    <r>
      <rPr>
        <sz val="10"/>
        <rFont val="Times New Roman"/>
        <family val="1"/>
      </rPr>
      <t>99,140</t>
    </r>
  </si>
  <si>
    <r>
      <t>r</t>
    </r>
    <r>
      <rPr>
        <sz val="10"/>
        <rFont val="Times New Roman"/>
        <family val="1"/>
      </rPr>
      <t>90,006</t>
    </r>
  </si>
  <si>
    <r>
      <t>r</t>
    </r>
    <r>
      <rPr>
        <sz val="10"/>
        <rFont val="Times New Roman"/>
        <family val="1"/>
      </rPr>
      <t>-9,134</t>
    </r>
  </si>
  <si>
    <r>
      <t>r</t>
    </r>
    <r>
      <rPr>
        <sz val="10"/>
        <rFont val="Times New Roman"/>
        <family val="1"/>
      </rPr>
      <t>87,748</t>
    </r>
  </si>
  <si>
    <r>
      <t>r</t>
    </r>
    <r>
      <rPr>
        <sz val="10"/>
        <rFont val="Times New Roman"/>
        <family val="1"/>
      </rPr>
      <t>124,991</t>
    </r>
  </si>
  <si>
    <r>
      <t>r</t>
    </r>
    <r>
      <rPr>
        <sz val="10"/>
        <rFont val="Times New Roman"/>
        <family val="1"/>
      </rPr>
      <t>37,243</t>
    </r>
  </si>
  <si>
    <r>
      <t>r</t>
    </r>
    <r>
      <rPr>
        <sz val="10"/>
        <rFont val="Times New Roman"/>
        <family val="1"/>
      </rPr>
      <t>320,360</t>
    </r>
  </si>
  <si>
    <r>
      <t>r</t>
    </r>
    <r>
      <rPr>
        <sz val="10"/>
        <rFont val="Times New Roman"/>
        <family val="1"/>
      </rPr>
      <t>144,769</t>
    </r>
  </si>
  <si>
    <r>
      <t>r</t>
    </r>
    <r>
      <rPr>
        <sz val="10"/>
        <rFont val="Times New Roman"/>
        <family val="1"/>
      </rPr>
      <t>269,970</t>
    </r>
  </si>
  <si>
    <r>
      <t>r</t>
    </r>
    <r>
      <rPr>
        <sz val="10"/>
        <rFont val="Times New Roman"/>
        <family val="1"/>
      </rPr>
      <t>237,786</t>
    </r>
  </si>
  <si>
    <r>
      <t>r</t>
    </r>
    <r>
      <rPr>
        <sz val="10"/>
        <rFont val="Times New Roman"/>
        <family val="1"/>
      </rPr>
      <t>289,540</t>
    </r>
  </si>
  <si>
    <r>
      <t>r</t>
    </r>
    <r>
      <rPr>
        <sz val="10"/>
        <rFont val="Times New Roman"/>
        <family val="1"/>
      </rPr>
      <t>289,548</t>
    </r>
  </si>
  <si>
    <r>
      <t>r</t>
    </r>
    <r>
      <rPr>
        <sz val="10"/>
        <rFont val="Times New Roman"/>
        <family val="1"/>
      </rPr>
      <t>226,090</t>
    </r>
  </si>
  <si>
    <r>
      <t>r</t>
    </r>
    <r>
      <rPr>
        <sz val="10"/>
        <rFont val="Times New Roman"/>
        <family val="1"/>
      </rPr>
      <t>87,312</t>
    </r>
  </si>
  <si>
    <r>
      <t>r</t>
    </r>
    <r>
      <rPr>
        <sz val="10"/>
        <rFont val="Times New Roman"/>
        <family val="1"/>
      </rPr>
      <t>281,171</t>
    </r>
  </si>
  <si>
    <r>
      <t>r</t>
    </r>
    <r>
      <rPr>
        <sz val="10"/>
        <rFont val="Times New Roman"/>
        <family val="1"/>
      </rPr>
      <t>128,926</t>
    </r>
  </si>
  <si>
    <r>
      <t>r</t>
    </r>
    <r>
      <rPr>
        <sz val="10"/>
        <rFont val="Times New Roman"/>
        <family val="1"/>
      </rPr>
      <t>320,514</t>
    </r>
  </si>
  <si>
    <r>
      <t>r</t>
    </r>
    <r>
      <rPr>
        <sz val="10"/>
        <rFont val="Times New Roman"/>
        <family val="1"/>
      </rPr>
      <t>266,206</t>
    </r>
  </si>
  <si>
    <r>
      <t>r</t>
    </r>
    <r>
      <rPr>
        <sz val="10"/>
        <rFont val="Times New Roman"/>
        <family val="1"/>
      </rPr>
      <t>287,113</t>
    </r>
  </si>
  <si>
    <r>
      <t>r</t>
    </r>
    <r>
      <rPr>
        <sz val="10"/>
        <rFont val="Times New Roman"/>
        <family val="1"/>
      </rPr>
      <t>117,217</t>
    </r>
  </si>
  <si>
    <r>
      <t>r</t>
    </r>
    <r>
      <rPr>
        <sz val="10"/>
        <rFont val="Times New Roman"/>
        <family val="1"/>
      </rPr>
      <t>306,868</t>
    </r>
  </si>
  <si>
    <r>
      <t>r</t>
    </r>
    <r>
      <rPr>
        <sz val="10"/>
        <rFont val="Times New Roman"/>
        <family val="1"/>
      </rPr>
      <t>215,340</t>
    </r>
  </si>
  <si>
    <r>
      <t>r</t>
    </r>
    <r>
      <rPr>
        <sz val="10"/>
        <rFont val="Times New Roman"/>
        <family val="1"/>
      </rPr>
      <t>309,671</t>
    </r>
  </si>
  <si>
    <r>
      <t>r</t>
    </r>
    <r>
      <rPr>
        <sz val="10"/>
        <rFont val="Times New Roman"/>
        <family val="1"/>
      </rPr>
      <t>151,481</t>
    </r>
  </si>
  <si>
    <r>
      <t>r</t>
    </r>
    <r>
      <rPr>
        <sz val="10"/>
        <rFont val="Times New Roman"/>
        <family val="1"/>
      </rPr>
      <t>332,160</t>
    </r>
  </si>
  <si>
    <r>
      <t>r</t>
    </r>
    <r>
      <rPr>
        <sz val="10"/>
        <rFont val="Times New Roman"/>
        <family val="1"/>
      </rPr>
      <t>145,529</t>
    </r>
  </si>
  <si>
    <r>
      <t>r</t>
    </r>
    <r>
      <rPr>
        <sz val="10"/>
        <rFont val="Times New Roman"/>
        <family val="1"/>
      </rPr>
      <t>249,084</t>
    </r>
  </si>
  <si>
    <r>
      <t>r</t>
    </r>
    <r>
      <rPr>
        <sz val="10"/>
        <rFont val="Times New Roman"/>
        <family val="1"/>
      </rPr>
      <t>218,880</t>
    </r>
  </si>
  <si>
    <r>
      <t>r</t>
    </r>
    <r>
      <rPr>
        <sz val="10"/>
        <rFont val="Times New Roman"/>
        <family val="1"/>
      </rPr>
      <t>264,088</t>
    </r>
  </si>
  <si>
    <r>
      <t>r</t>
    </r>
    <r>
      <rPr>
        <sz val="10"/>
        <rFont val="Times New Roman"/>
        <family val="1"/>
      </rPr>
      <t>45,207</t>
    </r>
  </si>
  <si>
    <r>
      <t>r</t>
    </r>
    <r>
      <rPr>
        <sz val="10"/>
        <rFont val="Times New Roman"/>
        <family val="1"/>
      </rPr>
      <t>176,363</t>
    </r>
  </si>
  <si>
    <r>
      <t>r</t>
    </r>
    <r>
      <rPr>
        <sz val="10"/>
        <rFont val="Times New Roman"/>
        <family val="1"/>
      </rPr>
      <t>120,287</t>
    </r>
  </si>
  <si>
    <r>
      <t>r</t>
    </r>
    <r>
      <rPr>
        <sz val="10"/>
        <rFont val="Times New Roman"/>
        <family val="1"/>
      </rPr>
      <t>91,410</t>
    </r>
  </si>
  <si>
    <r>
      <t>r</t>
    </r>
    <r>
      <rPr>
        <sz val="10"/>
        <rFont val="Times New Roman"/>
        <family val="1"/>
      </rPr>
      <t>180,736</t>
    </r>
  </si>
  <si>
    <r>
      <t>r</t>
    </r>
    <r>
      <rPr>
        <sz val="10"/>
        <rFont val="Times New Roman"/>
        <family val="1"/>
      </rPr>
      <t>164,827</t>
    </r>
  </si>
  <si>
    <r>
      <t>r</t>
    </r>
    <r>
      <rPr>
        <sz val="10"/>
        <rFont val="Times New Roman"/>
        <family val="1"/>
      </rPr>
      <t>155,533</t>
    </r>
  </si>
  <si>
    <r>
      <t>r</t>
    </r>
    <r>
      <rPr>
        <sz val="10"/>
        <rFont val="Times New Roman"/>
        <family val="1"/>
      </rPr>
      <t>245,207</t>
    </r>
  </si>
  <si>
    <r>
      <t>r</t>
    </r>
    <r>
      <rPr>
        <sz val="10"/>
        <rFont val="Times New Roman"/>
        <family val="1"/>
      </rPr>
      <t>148,970</t>
    </r>
  </si>
  <si>
    <r>
      <t>r</t>
    </r>
    <r>
      <rPr>
        <sz val="10"/>
        <rFont val="Times New Roman"/>
        <family val="1"/>
      </rPr>
      <t>299,364</t>
    </r>
  </si>
  <si>
    <r>
      <t>r</t>
    </r>
    <r>
      <rPr>
        <sz val="10"/>
        <rFont val="Times New Roman"/>
        <family val="1"/>
      </rPr>
      <t>315,009</t>
    </r>
  </si>
  <si>
    <r>
      <t>r</t>
    </r>
    <r>
      <rPr>
        <sz val="10"/>
        <rFont val="Times New Roman"/>
        <family val="1"/>
      </rPr>
      <t>78,134</t>
    </r>
  </si>
  <si>
    <r>
      <t>r</t>
    </r>
    <r>
      <rPr>
        <sz val="10"/>
        <rFont val="Times New Roman"/>
        <family val="1"/>
      </rPr>
      <t>135,293</t>
    </r>
  </si>
  <si>
    <r>
      <t>r</t>
    </r>
    <r>
      <rPr>
        <sz val="10"/>
        <rFont val="Times New Roman"/>
        <family val="1"/>
      </rPr>
      <t>133,563</t>
    </r>
  </si>
  <si>
    <r>
      <t>r</t>
    </r>
    <r>
      <rPr>
        <sz val="10"/>
        <rFont val="Times New Roman"/>
        <family val="1"/>
      </rPr>
      <t>205,239</t>
    </r>
  </si>
  <si>
    <r>
      <t>r</t>
    </r>
    <r>
      <rPr>
        <sz val="10"/>
        <rFont val="Times New Roman"/>
        <family val="1"/>
      </rPr>
      <t>245,260</t>
    </r>
  </si>
  <si>
    <r>
      <t>r</t>
    </r>
    <r>
      <rPr>
        <sz val="10"/>
        <rFont val="Times New Roman"/>
        <family val="1"/>
      </rPr>
      <t>146,794</t>
    </r>
  </si>
  <si>
    <r>
      <t>r</t>
    </r>
    <r>
      <rPr>
        <sz val="10"/>
        <rFont val="Times New Roman"/>
        <family val="1"/>
      </rPr>
      <t>311,656</t>
    </r>
  </si>
  <si>
    <r>
      <t>r</t>
    </r>
    <r>
      <rPr>
        <sz val="10"/>
        <rFont val="Times New Roman"/>
        <family val="1"/>
      </rPr>
      <t>253,850</t>
    </r>
  </si>
  <si>
    <r>
      <t>r</t>
    </r>
    <r>
      <rPr>
        <sz val="10"/>
        <rFont val="Times New Roman"/>
        <family val="1"/>
      </rPr>
      <t>310,329</t>
    </r>
  </si>
  <si>
    <r>
      <t>r</t>
    </r>
    <r>
      <rPr>
        <sz val="10"/>
        <rFont val="Times New Roman"/>
        <family val="1"/>
      </rPr>
      <t>247,873</t>
    </r>
  </si>
  <si>
    <r>
      <t>r</t>
    </r>
    <r>
      <rPr>
        <sz val="10"/>
        <rFont val="Times New Roman"/>
        <family val="1"/>
      </rPr>
      <t>327,950</t>
    </r>
  </si>
  <si>
    <r>
      <t>r</t>
    </r>
    <r>
      <rPr>
        <sz val="10"/>
        <rFont val="Times New Roman"/>
        <family val="1"/>
      </rPr>
      <t>282,721</t>
    </r>
  </si>
  <si>
    <r>
      <t>r</t>
    </r>
    <r>
      <rPr>
        <sz val="10"/>
        <rFont val="Times New Roman"/>
        <family val="1"/>
      </rPr>
      <t>279,813</t>
    </r>
  </si>
  <si>
    <r>
      <t>r</t>
    </r>
    <r>
      <rPr>
        <sz val="10"/>
        <rFont val="Times New Roman"/>
        <family val="1"/>
      </rPr>
      <t>34,607</t>
    </r>
  </si>
  <si>
    <r>
      <t>r</t>
    </r>
    <r>
      <rPr>
        <sz val="10"/>
        <rFont val="Times New Roman"/>
        <family val="1"/>
      </rPr>
      <t>276,346</t>
    </r>
  </si>
  <si>
    <r>
      <t>r</t>
    </r>
    <r>
      <rPr>
        <sz val="10"/>
        <rFont val="Times New Roman"/>
        <family val="1"/>
      </rPr>
      <t>226,550</t>
    </r>
  </si>
  <si>
    <r>
      <t>r</t>
    </r>
    <r>
      <rPr>
        <sz val="10"/>
        <rFont val="Times New Roman"/>
        <family val="1"/>
      </rPr>
      <t>40,387</t>
    </r>
  </si>
  <si>
    <r>
      <t>r</t>
    </r>
    <r>
      <rPr>
        <sz val="10"/>
        <rFont val="Times New Roman"/>
        <family val="1"/>
      </rPr>
      <t>329,929</t>
    </r>
  </si>
  <si>
    <r>
      <t>r</t>
    </r>
    <r>
      <rPr>
        <sz val="10"/>
        <rFont val="Times New Roman"/>
        <family val="1"/>
      </rPr>
      <t>222,507</t>
    </r>
  </si>
  <si>
    <r>
      <t>r</t>
    </r>
    <r>
      <rPr>
        <sz val="10"/>
        <rFont val="Times New Roman"/>
        <family val="1"/>
      </rPr>
      <t>333,163</t>
    </r>
  </si>
  <si>
    <r>
      <t>r</t>
    </r>
    <r>
      <rPr>
        <sz val="10"/>
        <rFont val="Times New Roman"/>
        <family val="1"/>
      </rPr>
      <t>232,577</t>
    </r>
  </si>
  <si>
    <r>
      <t>r</t>
    </r>
    <r>
      <rPr>
        <sz val="10"/>
        <rFont val="Times New Roman"/>
        <family val="1"/>
      </rPr>
      <t>174,936</t>
    </r>
  </si>
  <si>
    <r>
      <t>r</t>
    </r>
    <r>
      <rPr>
        <sz val="10"/>
        <rFont val="Times New Roman"/>
        <family val="1"/>
      </rPr>
      <t>169,246</t>
    </r>
  </si>
  <si>
    <r>
      <t>r</t>
    </r>
    <r>
      <rPr>
        <sz val="10"/>
        <rFont val="Times New Roman"/>
        <family val="1"/>
      </rPr>
      <t>303,388</t>
    </r>
  </si>
  <si>
    <r>
      <t>r</t>
    </r>
    <r>
      <rPr>
        <sz val="10"/>
        <rFont val="Times New Roman"/>
        <family val="1"/>
      </rPr>
      <t>339,048</t>
    </r>
  </si>
  <si>
    <r>
      <t>r</t>
    </r>
    <r>
      <rPr>
        <sz val="10"/>
        <rFont val="Times New Roman"/>
        <family val="1"/>
      </rPr>
      <t>188,154</t>
    </r>
  </si>
  <si>
    <r>
      <t>r</t>
    </r>
    <r>
      <rPr>
        <sz val="10"/>
        <rFont val="Times New Roman"/>
        <family val="1"/>
      </rPr>
      <t>302,903</t>
    </r>
  </si>
  <si>
    <r>
      <t>r</t>
    </r>
    <r>
      <rPr>
        <sz val="10"/>
        <rFont val="Times New Roman"/>
        <family val="1"/>
      </rPr>
      <t>62,750</t>
    </r>
  </si>
  <si>
    <r>
      <t>r</t>
    </r>
    <r>
      <rPr>
        <sz val="10"/>
        <rFont val="Times New Roman"/>
        <family val="1"/>
      </rPr>
      <t>198,157</t>
    </r>
  </si>
  <si>
    <r>
      <t>r</t>
    </r>
    <r>
      <rPr>
        <sz val="10"/>
        <rFont val="Times New Roman"/>
        <family val="1"/>
      </rPr>
      <t>369,372</t>
    </r>
  </si>
  <si>
    <r>
      <t>r</t>
    </r>
    <r>
      <rPr>
        <sz val="10"/>
        <rFont val="Times New Roman"/>
        <family val="1"/>
      </rPr>
      <t>335,090</t>
    </r>
  </si>
  <si>
    <r>
      <t>r</t>
    </r>
    <r>
      <rPr>
        <sz val="10"/>
        <rFont val="Times New Roman"/>
        <family val="1"/>
      </rPr>
      <t>231,677</t>
    </r>
  </si>
  <si>
    <r>
      <t>r</t>
    </r>
    <r>
      <rPr>
        <sz val="10"/>
        <rFont val="Times New Roman"/>
        <family val="1"/>
      </rPr>
      <t>261,726</t>
    </r>
  </si>
  <si>
    <r>
      <t>r</t>
    </r>
    <r>
      <rPr>
        <sz val="10"/>
        <rFont val="Times New Roman"/>
        <family val="1"/>
      </rPr>
      <t>27,407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</si>
  <si>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-75,180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</si>
  <si>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186,386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</si>
  <si>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269,508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</si>
  <si>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1,191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</si>
  <si>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-2,886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</si>
  <si>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269,340</t>
    </r>
  </si>
  <si>
    <r>
      <rPr>
        <vertAlign val="superscript"/>
        <sz val="8"/>
        <rFont val="Times New Roman"/>
        <family val="1"/>
      </rPr>
      <t>r</t>
    </r>
    <r>
      <rPr>
        <sz val="10"/>
        <rFont val="Times New Roman"/>
        <family val="1"/>
      </rPr>
      <t>306,247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</si>
  <si>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270,699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</si>
  <si>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297,627</t>
    </r>
  </si>
  <si>
    <r>
      <rPr>
        <vertAlign val="superscript"/>
        <sz val="8"/>
        <rFont val="Times New Roman"/>
        <family val="1"/>
      </rPr>
      <t>r</t>
    </r>
    <r>
      <rPr>
        <sz val="10"/>
        <rFont val="Times New Roman"/>
        <family val="1"/>
      </rPr>
      <t>301,469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</si>
  <si>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226,355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</si>
  <si>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333,275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</si>
  <si>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147,905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</si>
  <si>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252,741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</si>
  <si>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36,895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</si>
  <si>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309,113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</si>
  <si>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94,621</t>
    </r>
  </si>
  <si>
    <t>Borrowing from the Public</t>
  </si>
  <si>
    <t>Reduction of Operating Cash</t>
  </si>
  <si>
    <t>By Other Means</t>
  </si>
  <si>
    <t>n/a</t>
  </si>
  <si>
    <t>Note: Data for Borrowing from the Public, Reduction of Operating Cash, and By Other Means prior to January 2010 is not readily available</t>
  </si>
  <si>
    <r>
      <t>r</t>
    </r>
    <r>
      <rPr>
        <sz val="10"/>
        <rFont val="Times New Roman"/>
        <family val="1"/>
      </rPr>
      <t>245,441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</si>
  <si>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-105,803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</si>
  <si>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333,463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</si>
  <si>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321,738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</si>
  <si>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-1,864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</si>
  <si>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351,245</t>
    </r>
  </si>
  <si>
    <r>
      <t>r</t>
    </r>
    <r>
      <rPr>
        <sz val="10"/>
        <rFont val="Times New Roman"/>
        <family val="1"/>
      </rPr>
      <t>315,092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</si>
  <si>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-156,709</t>
    </r>
  </si>
  <si>
    <r>
      <t>r</t>
    </r>
    <r>
      <rPr>
        <sz val="10"/>
        <rFont val="Times New Roman"/>
        <family val="1"/>
      </rPr>
      <t>296,454</t>
    </r>
  </si>
  <si>
    <r>
      <t>r</t>
    </r>
    <r>
      <rPr>
        <sz val="10"/>
        <rFont val="Times New Roman"/>
        <family val="1"/>
      </rPr>
      <t>292,447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</si>
  <si>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84,068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</si>
  <si>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-50,487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</si>
  <si>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289,514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</si>
  <si>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90,586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</si>
  <si>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275,248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</si>
  <si>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64,412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</si>
  <si>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347,604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</si>
  <si>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136,558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</si>
  <si>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361,757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</si>
  <si>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192,610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</si>
  <si>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331,747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</si>
  <si>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269,517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</si>
  <si>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322,817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</si>
  <si>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365,451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</si>
  <si>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274,580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</si>
  <si>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-90,871</t>
    </r>
  </si>
  <si>
    <r>
      <t>356,623</t>
    </r>
    <r>
      <rPr>
        <vertAlign val="superscript"/>
        <sz val="10"/>
        <rFont val="Times New Roman"/>
        <family val="1"/>
      </rPr>
      <t>r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</si>
  <si>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336,544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</si>
  <si>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136,669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</si>
  <si>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328,841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</si>
  <si>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346,541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</si>
  <si>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340,837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</si>
  <si>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348,989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</si>
  <si>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311,801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</si>
  <si>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370,862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</si>
  <si>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10,250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</si>
  <si>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349,091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</si>
  <si>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404,883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</si>
  <si>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423,229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</si>
  <si>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355,754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</si>
  <si>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979,885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</si>
  <si>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572,614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</si>
  <si>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523,318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</si>
  <si>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486,723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</si>
  <si>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465,074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</si>
  <si>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289,857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</si>
  <si>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315,165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</si>
  <si>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863,644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</si>
  <si>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388,988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</si>
  <si>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460,757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</si>
  <si>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269,331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</si>
  <si>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303,722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</si>
  <si>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508,026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</si>
  <si>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346,375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</si>
  <si>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506,447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</si>
  <si>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507,799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</si>
  <si>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555,429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</si>
  <si>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455,211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</si>
  <si>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549,598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</si>
  <si>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480,383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</si>
  <si>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917,489</t>
    </r>
  </si>
  <si>
    <r>
      <rPr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429,776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</si>
</sst>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4" applyNumberFormat="0" applyFill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0" fontId="35" fillId="26" borderId="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7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7" fontId="6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17" fontId="5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4" fontId="7" fillId="0" borderId="0" xfId="42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5" fillId="0" borderId="0" xfId="0" applyFont="1" applyAlignment="1">
      <alignment horizontal="right"/>
    </xf>
    <xf numFmtId="17" fontId="5" fillId="0" borderId="0" xfId="0" applyNumberFormat="1" applyFont="1" applyAlignment="1">
      <alignment/>
    </xf>
    <xf numFmtId="3" fontId="39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3" fontId="40" fillId="0" borderId="0" xfId="0" applyNumberFormat="1" applyFont="1" applyFill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6"/>
  <sheetViews>
    <sheetView tabSelected="1" zoomScale="85" zoomScaleNormal="85" zoomScalePageLayoutView="0" workbookViewId="0" topLeftCell="A1">
      <pane ySplit="1" topLeftCell="A509" activePane="bottomLeft" state="frozen"/>
      <selection pane="topLeft" activeCell="A1" sqref="A1"/>
      <selection pane="bottomLeft" activeCell="G527" sqref="G527"/>
    </sheetView>
  </sheetViews>
  <sheetFormatPr defaultColWidth="9.140625" defaultRowHeight="16.5" customHeight="1"/>
  <cols>
    <col min="1" max="1" width="9.28125" style="2" customWidth="1"/>
    <col min="2" max="2" width="11.28125" style="3" customWidth="1"/>
    <col min="3" max="3" width="10.57421875" style="3" customWidth="1"/>
    <col min="4" max="4" width="18.28125" style="3" customWidth="1"/>
    <col min="5" max="5" width="28.7109375" style="1" bestFit="1" customWidth="1"/>
    <col min="6" max="6" width="31.421875" style="1" bestFit="1" customWidth="1"/>
    <col min="7" max="7" width="17.8515625" style="1" bestFit="1" customWidth="1"/>
    <col min="8" max="16384" width="9.140625" style="1" customWidth="1"/>
  </cols>
  <sheetData>
    <row r="1" spans="1:7" ht="16.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277</v>
      </c>
      <c r="F1" s="7" t="s">
        <v>278</v>
      </c>
      <c r="G1" s="7" t="s">
        <v>279</v>
      </c>
    </row>
    <row r="2" spans="1:7" ht="16.5" customHeight="1">
      <c r="A2" s="2">
        <f>DATE(80,10,31)</f>
        <v>29525</v>
      </c>
      <c r="B2" s="3">
        <v>38923</v>
      </c>
      <c r="C2" s="3">
        <v>55843</v>
      </c>
      <c r="D2" s="3">
        <v>16921</v>
      </c>
      <c r="E2" s="18" t="s">
        <v>280</v>
      </c>
      <c r="F2" s="18" t="s">
        <v>280</v>
      </c>
      <c r="G2" s="18" t="s">
        <v>280</v>
      </c>
    </row>
    <row r="3" spans="1:7" ht="16.5" customHeight="1">
      <c r="A3" s="2">
        <f>DATE(80,11,30)</f>
        <v>29555</v>
      </c>
      <c r="B3" s="3">
        <f>78098-38923</f>
        <v>39175</v>
      </c>
      <c r="C3" s="3">
        <f>103926-55843</f>
        <v>48083</v>
      </c>
      <c r="D3" s="3">
        <f>25828-16921</f>
        <v>8907</v>
      </c>
      <c r="E3" s="18" t="s">
        <v>280</v>
      </c>
      <c r="F3" s="18" t="s">
        <v>280</v>
      </c>
      <c r="G3" s="18" t="s">
        <v>280</v>
      </c>
    </row>
    <row r="4" spans="1:7" ht="16.5" customHeight="1">
      <c r="A4" s="2">
        <f>DATE(80,12,31)</f>
        <v>29586</v>
      </c>
      <c r="B4" s="3">
        <f>127002-78098</f>
        <v>48904</v>
      </c>
      <c r="C4" s="3">
        <f>154795-103926</f>
        <v>50869</v>
      </c>
      <c r="D4" s="3">
        <f>27793-25828</f>
        <v>1965</v>
      </c>
      <c r="E4" s="18" t="s">
        <v>280</v>
      </c>
      <c r="F4" s="18" t="s">
        <v>280</v>
      </c>
      <c r="G4" s="18" t="s">
        <v>280</v>
      </c>
    </row>
    <row r="5" spans="1:7" ht="16.5" customHeight="1">
      <c r="A5" s="2">
        <f>DATE(81,1,31)</f>
        <v>29617</v>
      </c>
      <c r="B5" s="3">
        <f>178149-127002</f>
        <v>51147</v>
      </c>
      <c r="C5" s="3">
        <f>218134-154795</f>
        <v>63339</v>
      </c>
      <c r="D5" s="3">
        <f>39985-27793</f>
        <v>12192</v>
      </c>
      <c r="E5" s="18" t="s">
        <v>280</v>
      </c>
      <c r="F5" s="18" t="s">
        <v>280</v>
      </c>
      <c r="G5" s="18" t="s">
        <v>280</v>
      </c>
    </row>
    <row r="6" spans="1:7" ht="16.5" customHeight="1">
      <c r="A6" s="2">
        <f>DATE(81,2,28)</f>
        <v>29645</v>
      </c>
      <c r="B6" s="3">
        <f>216278-178149</f>
        <v>38129</v>
      </c>
      <c r="C6" s="3">
        <f>271883-218134</f>
        <v>53749</v>
      </c>
      <c r="D6" s="3">
        <f>55605-39985</f>
        <v>15620</v>
      </c>
      <c r="E6" s="18" t="s">
        <v>280</v>
      </c>
      <c r="F6" s="18" t="s">
        <v>280</v>
      </c>
      <c r="G6" s="18" t="s">
        <v>280</v>
      </c>
    </row>
    <row r="7" spans="1:7" ht="16.5" customHeight="1">
      <c r="A7" s="2">
        <f>DATE(81,3,31)</f>
        <v>29676</v>
      </c>
      <c r="B7" s="3">
        <f>260635-216278</f>
        <v>44357</v>
      </c>
      <c r="C7" s="3">
        <f>325821-271883</f>
        <v>53938</v>
      </c>
      <c r="D7" s="3">
        <f>65187-55605</f>
        <v>9582</v>
      </c>
      <c r="E7" s="18" t="s">
        <v>280</v>
      </c>
      <c r="F7" s="18" t="s">
        <v>280</v>
      </c>
      <c r="G7" s="18" t="s">
        <v>280</v>
      </c>
    </row>
    <row r="8" spans="1:7" ht="16.5" customHeight="1">
      <c r="A8" s="2">
        <f>DATE(81,4,30)</f>
        <v>29706</v>
      </c>
      <c r="B8" s="3">
        <f>334823-260635</f>
        <v>74188</v>
      </c>
      <c r="C8" s="3">
        <f>382820-325821</f>
        <v>56999</v>
      </c>
      <c r="D8" s="3">
        <f>47997-65187</f>
        <v>-17190</v>
      </c>
      <c r="E8" s="18" t="s">
        <v>280</v>
      </c>
      <c r="F8" s="18" t="s">
        <v>280</v>
      </c>
      <c r="G8" s="18" t="s">
        <v>280</v>
      </c>
    </row>
    <row r="9" spans="1:7" ht="16.5" customHeight="1">
      <c r="A9" s="2">
        <f>DATE(81,5,31)</f>
        <v>29737</v>
      </c>
      <c r="B9" s="3">
        <f>373066-334823</f>
        <v>38243</v>
      </c>
      <c r="C9" s="3">
        <f>437234-382820</f>
        <v>54414</v>
      </c>
      <c r="D9" s="3">
        <f>64168-47997</f>
        <v>16171</v>
      </c>
      <c r="E9" s="18" t="s">
        <v>280</v>
      </c>
      <c r="F9" s="18" t="s">
        <v>280</v>
      </c>
      <c r="G9" s="18" t="s">
        <v>280</v>
      </c>
    </row>
    <row r="10" spans="1:7" ht="16.5" customHeight="1">
      <c r="A10" s="2">
        <f>DATE(81,6,30)</f>
        <v>29767</v>
      </c>
      <c r="B10" s="3">
        <f>443495-373066</f>
        <v>70429</v>
      </c>
      <c r="C10" s="3">
        <f>492300-437234</f>
        <v>55066</v>
      </c>
      <c r="D10" s="3">
        <f>48805-64168</f>
        <v>-15363</v>
      </c>
      <c r="E10" s="18" t="s">
        <v>280</v>
      </c>
      <c r="F10" s="18" t="s">
        <v>280</v>
      </c>
      <c r="G10" s="18" t="s">
        <v>280</v>
      </c>
    </row>
    <row r="11" spans="1:7" ht="16.5" customHeight="1">
      <c r="A11" s="2">
        <f>DATE(81,7,31)</f>
        <v>29798</v>
      </c>
      <c r="B11" s="3">
        <f>491324-443495</f>
        <v>47829</v>
      </c>
      <c r="C11" s="3">
        <f>550472-492300</f>
        <v>58172</v>
      </c>
      <c r="D11" s="3">
        <f>59148-48805</f>
        <v>10343</v>
      </c>
      <c r="E11" s="18" t="s">
        <v>280</v>
      </c>
      <c r="F11" s="18" t="s">
        <v>280</v>
      </c>
      <c r="G11" s="18" t="s">
        <v>280</v>
      </c>
    </row>
    <row r="12" spans="1:7" ht="16.5" customHeight="1">
      <c r="A12" s="2">
        <f>DATE(81,8,31)</f>
        <v>29829</v>
      </c>
      <c r="B12" s="3">
        <f>538993-491324</f>
        <v>47669</v>
      </c>
      <c r="C12" s="3">
        <f>603260-550472</f>
        <v>52788</v>
      </c>
      <c r="D12" s="3">
        <f>64267-59148</f>
        <v>5119</v>
      </c>
      <c r="E12" s="18" t="s">
        <v>280</v>
      </c>
      <c r="F12" s="18" t="s">
        <v>280</v>
      </c>
      <c r="G12" s="18" t="s">
        <v>280</v>
      </c>
    </row>
    <row r="13" spans="1:7" ht="16.5" customHeight="1">
      <c r="A13" s="2">
        <f>DATE(81,9,30)</f>
        <v>29859</v>
      </c>
      <c r="B13" s="3">
        <f>599272-538993</f>
        <v>60279</v>
      </c>
      <c r="C13" s="3">
        <f>657204-603260</f>
        <v>53944</v>
      </c>
      <c r="D13" s="3">
        <f>57932-64267</f>
        <v>-6335</v>
      </c>
      <c r="E13" s="18" t="s">
        <v>280</v>
      </c>
      <c r="F13" s="18" t="s">
        <v>280</v>
      </c>
      <c r="G13" s="18" t="s">
        <v>280</v>
      </c>
    </row>
    <row r="14" spans="1:7" ht="16.5" customHeight="1">
      <c r="A14" s="2">
        <f>DATE(81,10,31)</f>
        <v>29890</v>
      </c>
      <c r="B14" s="3">
        <v>45467</v>
      </c>
      <c r="C14" s="3">
        <v>63573</v>
      </c>
      <c r="D14" s="3">
        <v>18105</v>
      </c>
      <c r="E14" s="18" t="s">
        <v>280</v>
      </c>
      <c r="F14" s="18" t="s">
        <v>280</v>
      </c>
      <c r="G14" s="18" t="s">
        <v>280</v>
      </c>
    </row>
    <row r="15" spans="1:7" ht="16.5" customHeight="1">
      <c r="A15" s="2">
        <f>DATE(81,11,30)</f>
        <v>29920</v>
      </c>
      <c r="B15" s="3">
        <v>44317</v>
      </c>
      <c r="C15" s="3">
        <v>54959</v>
      </c>
      <c r="D15" s="3">
        <v>10642</v>
      </c>
      <c r="E15" s="18" t="s">
        <v>280</v>
      </c>
      <c r="F15" s="18" t="s">
        <v>280</v>
      </c>
      <c r="G15" s="18" t="s">
        <v>280</v>
      </c>
    </row>
    <row r="16" spans="1:7" ht="16.5" customHeight="1">
      <c r="A16" s="2">
        <f>DATE(81,12,31)</f>
        <v>29951</v>
      </c>
      <c r="B16" s="3">
        <v>57407</v>
      </c>
      <c r="C16" s="3">
        <v>76875</v>
      </c>
      <c r="D16" s="3">
        <v>19468</v>
      </c>
      <c r="E16" s="18" t="s">
        <v>280</v>
      </c>
      <c r="F16" s="18" t="s">
        <v>280</v>
      </c>
      <c r="G16" s="18" t="s">
        <v>280</v>
      </c>
    </row>
    <row r="17" spans="1:7" ht="16.5" customHeight="1">
      <c r="A17" s="2">
        <f>DATE(82,1,31)</f>
        <v>29982</v>
      </c>
      <c r="B17" s="3">
        <v>55269</v>
      </c>
      <c r="C17" s="3">
        <v>45930</v>
      </c>
      <c r="D17" s="3">
        <v>-9339</v>
      </c>
      <c r="E17" s="18" t="s">
        <v>280</v>
      </c>
      <c r="F17" s="18" t="s">
        <v>280</v>
      </c>
      <c r="G17" s="18" t="s">
        <v>280</v>
      </c>
    </row>
    <row r="18" spans="1:7" ht="16.5" customHeight="1">
      <c r="A18" s="2">
        <f>DATE(82,2,28)</f>
        <v>30010</v>
      </c>
      <c r="B18" s="3">
        <v>43042</v>
      </c>
      <c r="C18" s="3">
        <v>57822</v>
      </c>
      <c r="D18" s="3">
        <v>14780</v>
      </c>
      <c r="E18" s="18" t="s">
        <v>280</v>
      </c>
      <c r="F18" s="18" t="s">
        <v>280</v>
      </c>
      <c r="G18" s="18" t="s">
        <v>280</v>
      </c>
    </row>
    <row r="19" spans="1:7" ht="16.5" customHeight="1">
      <c r="A19" s="2">
        <f>DATE(82,3,31)</f>
        <v>30041</v>
      </c>
      <c r="B19" s="3">
        <v>45291</v>
      </c>
      <c r="C19" s="3">
        <v>63546</v>
      </c>
      <c r="D19" s="3">
        <v>18255</v>
      </c>
      <c r="E19" s="18" t="s">
        <v>280</v>
      </c>
      <c r="F19" s="18" t="s">
        <v>280</v>
      </c>
      <c r="G19" s="18" t="s">
        <v>280</v>
      </c>
    </row>
    <row r="20" spans="1:7" ht="16.5" customHeight="1">
      <c r="A20" s="2">
        <f>DATE(82,4,30)</f>
        <v>30071</v>
      </c>
      <c r="B20" s="3">
        <v>75777</v>
      </c>
      <c r="C20" s="3">
        <v>66073</v>
      </c>
      <c r="D20" s="3">
        <v>-9704</v>
      </c>
      <c r="E20" s="18" t="s">
        <v>280</v>
      </c>
      <c r="F20" s="18" t="s">
        <v>280</v>
      </c>
      <c r="G20" s="18" t="s">
        <v>280</v>
      </c>
    </row>
    <row r="21" spans="1:7" ht="16.5" customHeight="1">
      <c r="A21" s="2">
        <f>DATE(82,5,31)</f>
        <v>30102</v>
      </c>
      <c r="B21" s="3">
        <v>36753</v>
      </c>
      <c r="C21" s="3">
        <v>55683</v>
      </c>
      <c r="D21" s="3">
        <v>18930</v>
      </c>
      <c r="E21" s="18" t="s">
        <v>280</v>
      </c>
      <c r="F21" s="18" t="s">
        <v>280</v>
      </c>
      <c r="G21" s="18" t="s">
        <v>280</v>
      </c>
    </row>
    <row r="22" spans="1:7" ht="16.5" customHeight="1">
      <c r="A22" s="2">
        <f>DATE(82,6,30)</f>
        <v>30132</v>
      </c>
      <c r="B22" s="3">
        <v>66353</v>
      </c>
      <c r="C22" s="3">
        <v>59629</v>
      </c>
      <c r="D22" s="3">
        <v>-6724</v>
      </c>
      <c r="E22" s="18" t="s">
        <v>280</v>
      </c>
      <c r="F22" s="18" t="s">
        <v>280</v>
      </c>
      <c r="G22" s="18" t="s">
        <v>280</v>
      </c>
    </row>
    <row r="23" spans="1:7" ht="16.5" customHeight="1">
      <c r="A23" s="2">
        <f>DATE(82,7,31)</f>
        <v>30163</v>
      </c>
      <c r="B23" s="3">
        <v>44675</v>
      </c>
      <c r="C23" s="3">
        <v>64506</v>
      </c>
      <c r="D23" s="3">
        <v>19831</v>
      </c>
      <c r="E23" s="18" t="s">
        <v>280</v>
      </c>
      <c r="F23" s="18" t="s">
        <v>280</v>
      </c>
      <c r="G23" s="18" t="s">
        <v>280</v>
      </c>
    </row>
    <row r="24" spans="1:7" ht="16.5" customHeight="1">
      <c r="A24" s="2">
        <f>DATE(82,8,31)</f>
        <v>30194</v>
      </c>
      <c r="B24" s="3">
        <v>44924</v>
      </c>
      <c r="C24" s="3">
        <v>59628</v>
      </c>
      <c r="D24" s="3">
        <v>14704</v>
      </c>
      <c r="E24" s="18" t="s">
        <v>280</v>
      </c>
      <c r="F24" s="18" t="s">
        <v>280</v>
      </c>
      <c r="G24" s="18" t="s">
        <v>280</v>
      </c>
    </row>
    <row r="25" spans="1:7" ht="16.5" customHeight="1">
      <c r="A25" s="2">
        <f>DATE(82,9,30)</f>
        <v>30224</v>
      </c>
      <c r="B25" s="3">
        <v>59694</v>
      </c>
      <c r="C25" s="3">
        <v>61403</v>
      </c>
      <c r="D25" s="3">
        <v>1708</v>
      </c>
      <c r="E25" s="18" t="s">
        <v>280</v>
      </c>
      <c r="F25" s="18" t="s">
        <v>280</v>
      </c>
      <c r="G25" s="18" t="s">
        <v>280</v>
      </c>
    </row>
    <row r="26" spans="1:7" ht="16.5" customHeight="1">
      <c r="A26" s="2">
        <f>DATE(82,10,31)</f>
        <v>30255</v>
      </c>
      <c r="B26" s="3">
        <v>40539</v>
      </c>
      <c r="C26" s="3">
        <v>66708</v>
      </c>
      <c r="D26" s="3">
        <v>26169</v>
      </c>
      <c r="E26" s="18" t="s">
        <v>280</v>
      </c>
      <c r="F26" s="18" t="s">
        <v>280</v>
      </c>
      <c r="G26" s="18" t="s">
        <v>280</v>
      </c>
    </row>
    <row r="27" spans="1:7" ht="16.5" customHeight="1">
      <c r="A27" s="2">
        <f>DATE(82,11,30)</f>
        <v>30285</v>
      </c>
      <c r="B27" s="3">
        <v>42007</v>
      </c>
      <c r="C27" s="3">
        <v>66166</v>
      </c>
      <c r="D27" s="3">
        <v>24158</v>
      </c>
      <c r="E27" s="18" t="s">
        <v>280</v>
      </c>
      <c r="F27" s="18" t="s">
        <v>280</v>
      </c>
      <c r="G27" s="18" t="s">
        <v>280</v>
      </c>
    </row>
    <row r="28" spans="1:7" ht="16.5" customHeight="1">
      <c r="A28" s="2">
        <f>DATE(82,12,31)</f>
        <v>30316</v>
      </c>
      <c r="B28" s="3">
        <v>54498</v>
      </c>
      <c r="C28" s="3">
        <v>72436</v>
      </c>
      <c r="D28" s="3">
        <v>17938</v>
      </c>
      <c r="E28" s="18" t="s">
        <v>280</v>
      </c>
      <c r="F28" s="18" t="s">
        <v>280</v>
      </c>
      <c r="G28" s="18" t="s">
        <v>280</v>
      </c>
    </row>
    <row r="29" spans="1:7" ht="16.5" customHeight="1">
      <c r="A29" s="2">
        <f>DATE(83,1,31)</f>
        <v>30347</v>
      </c>
      <c r="B29" s="3">
        <v>57505</v>
      </c>
      <c r="C29" s="3">
        <v>67087</v>
      </c>
      <c r="D29" s="3">
        <v>9582</v>
      </c>
      <c r="E29" s="18" t="s">
        <v>280</v>
      </c>
      <c r="F29" s="18" t="s">
        <v>280</v>
      </c>
      <c r="G29" s="18" t="s">
        <v>280</v>
      </c>
    </row>
    <row r="30" spans="1:7" ht="16.5" customHeight="1">
      <c r="A30" s="2">
        <f>DATE(83,2,28)</f>
        <v>30375</v>
      </c>
      <c r="B30" s="3">
        <v>38816</v>
      </c>
      <c r="C30" s="3">
        <v>64152</v>
      </c>
      <c r="D30" s="3">
        <v>25336</v>
      </c>
      <c r="E30" s="18" t="s">
        <v>280</v>
      </c>
      <c r="F30" s="18" t="s">
        <v>280</v>
      </c>
      <c r="G30" s="18" t="s">
        <v>280</v>
      </c>
    </row>
    <row r="31" spans="1:7" ht="16.5" customHeight="1">
      <c r="A31" s="2">
        <f>DATE(83,3,31)</f>
        <v>30406</v>
      </c>
      <c r="B31" s="3">
        <v>43504</v>
      </c>
      <c r="C31" s="3">
        <v>69540</v>
      </c>
      <c r="D31" s="3">
        <v>26036</v>
      </c>
      <c r="E31" s="18" t="s">
        <v>280</v>
      </c>
      <c r="F31" s="18" t="s">
        <v>280</v>
      </c>
      <c r="G31" s="18" t="s">
        <v>280</v>
      </c>
    </row>
    <row r="32" spans="1:7" ht="16.5" customHeight="1">
      <c r="A32" s="2">
        <f>DATE(83,4,30)</f>
        <v>30436</v>
      </c>
      <c r="B32" s="3">
        <v>66234</v>
      </c>
      <c r="C32" s="3">
        <v>69542</v>
      </c>
      <c r="D32" s="3">
        <v>3308</v>
      </c>
      <c r="E32" s="18" t="s">
        <v>280</v>
      </c>
      <c r="F32" s="18" t="s">
        <v>280</v>
      </c>
      <c r="G32" s="18" t="s">
        <v>280</v>
      </c>
    </row>
    <row r="33" spans="1:7" ht="16.5" customHeight="1">
      <c r="A33" s="2">
        <f>DATE(83,5,31)</f>
        <v>30467</v>
      </c>
      <c r="B33" s="3">
        <v>33755</v>
      </c>
      <c r="C33" s="3">
        <v>63040</v>
      </c>
      <c r="D33" s="3">
        <v>29285</v>
      </c>
      <c r="E33" s="18" t="s">
        <v>280</v>
      </c>
      <c r="F33" s="18" t="s">
        <v>280</v>
      </c>
      <c r="G33" s="18" t="s">
        <v>280</v>
      </c>
    </row>
    <row r="34" spans="1:7" ht="16.5" customHeight="1">
      <c r="A34" s="2">
        <f>DATE(83,6,30)</f>
        <v>30497</v>
      </c>
      <c r="B34" s="3">
        <v>66517</v>
      </c>
      <c r="C34" s="3">
        <v>63116</v>
      </c>
      <c r="D34" s="3">
        <v>-3401</v>
      </c>
      <c r="E34" s="18" t="s">
        <v>280</v>
      </c>
      <c r="F34" s="18" t="s">
        <v>280</v>
      </c>
      <c r="G34" s="18" t="s">
        <v>280</v>
      </c>
    </row>
    <row r="35" spans="1:7" ht="16.5" customHeight="1">
      <c r="A35" s="2">
        <f>DATE(83,7,31)</f>
        <v>30528</v>
      </c>
      <c r="B35" s="3">
        <v>43948</v>
      </c>
      <c r="C35" s="3">
        <v>65360</v>
      </c>
      <c r="D35" s="3">
        <v>21412</v>
      </c>
      <c r="E35" s="18" t="s">
        <v>280</v>
      </c>
      <c r="F35" s="18" t="s">
        <v>280</v>
      </c>
      <c r="G35" s="18" t="s">
        <v>280</v>
      </c>
    </row>
    <row r="36" spans="1:7" ht="16.5" customHeight="1">
      <c r="A36" s="2">
        <f>DATE(83,8,31)</f>
        <v>30559</v>
      </c>
      <c r="B36" s="3">
        <f>537006-487323</f>
        <v>49683</v>
      </c>
      <c r="C36" s="3">
        <f>734306-667146</f>
        <v>67160</v>
      </c>
      <c r="D36" s="3">
        <f>197300-179823</f>
        <v>17477</v>
      </c>
      <c r="E36" s="18" t="s">
        <v>280</v>
      </c>
      <c r="F36" s="18" t="s">
        <v>280</v>
      </c>
      <c r="G36" s="18" t="s">
        <v>280</v>
      </c>
    </row>
    <row r="37" spans="1:7" ht="16.5" customHeight="1">
      <c r="A37" s="2">
        <f>DATE(83,9,30)</f>
        <v>30589</v>
      </c>
      <c r="B37" s="3">
        <f>600562-537006</f>
        <v>63556</v>
      </c>
      <c r="C37" s="3">
        <f>795916-734306</f>
        <v>61610</v>
      </c>
      <c r="D37" s="3">
        <f>195354-197300</f>
        <v>-1946</v>
      </c>
      <c r="E37" s="18" t="s">
        <v>280</v>
      </c>
      <c r="F37" s="18" t="s">
        <v>280</v>
      </c>
      <c r="G37" s="18" t="s">
        <v>280</v>
      </c>
    </row>
    <row r="38" spans="1:7" ht="16.5" customHeight="1">
      <c r="A38" s="2">
        <f>DATE(83,10,31)</f>
        <v>30620</v>
      </c>
      <c r="B38" s="3">
        <v>45157</v>
      </c>
      <c r="C38" s="3">
        <v>70226</v>
      </c>
      <c r="D38" s="3">
        <v>25069</v>
      </c>
      <c r="E38" s="18" t="s">
        <v>280</v>
      </c>
      <c r="F38" s="18" t="s">
        <v>280</v>
      </c>
      <c r="G38" s="18" t="s">
        <v>280</v>
      </c>
    </row>
    <row r="39" spans="1:7" ht="16.5" customHeight="1">
      <c r="A39" s="2">
        <f>DATE(83,11,30)</f>
        <v>30650</v>
      </c>
      <c r="B39" s="3">
        <v>46202</v>
      </c>
      <c r="C39" s="3">
        <v>67794</v>
      </c>
      <c r="D39" s="3">
        <v>21591</v>
      </c>
      <c r="E39" s="18" t="s">
        <v>280</v>
      </c>
      <c r="F39" s="18" t="s">
        <v>280</v>
      </c>
      <c r="G39" s="18" t="s">
        <v>280</v>
      </c>
    </row>
    <row r="40" spans="1:7" ht="16.5" customHeight="1">
      <c r="A40" s="2">
        <f>DATE(83,12,31)</f>
        <v>30681</v>
      </c>
      <c r="B40" s="3">
        <v>58044</v>
      </c>
      <c r="C40" s="3">
        <v>74705</v>
      </c>
      <c r="D40" s="3">
        <v>16661</v>
      </c>
      <c r="E40" s="18" t="s">
        <v>280</v>
      </c>
      <c r="F40" s="18" t="s">
        <v>280</v>
      </c>
      <c r="G40" s="18" t="s">
        <v>280</v>
      </c>
    </row>
    <row r="41" spans="1:7" ht="16.5" customHeight="1">
      <c r="A41" s="2">
        <f>DATE(84,1,31)</f>
        <v>30712</v>
      </c>
      <c r="B41" s="3">
        <v>62537</v>
      </c>
      <c r="C41" s="3">
        <v>68052</v>
      </c>
      <c r="D41" s="3">
        <v>5515</v>
      </c>
      <c r="E41" s="18" t="s">
        <v>280</v>
      </c>
      <c r="F41" s="18" t="s">
        <v>280</v>
      </c>
      <c r="G41" s="18" t="s">
        <v>280</v>
      </c>
    </row>
    <row r="42" spans="1:7" ht="16.5" customHeight="1">
      <c r="A42" s="2">
        <f>DATE(84,2,28)</f>
        <v>30740</v>
      </c>
      <c r="B42" s="3">
        <v>47886</v>
      </c>
      <c r="C42" s="3">
        <v>68267</v>
      </c>
      <c r="D42" s="3">
        <v>20381</v>
      </c>
      <c r="E42" s="18" t="s">
        <v>280</v>
      </c>
      <c r="F42" s="18" t="s">
        <v>280</v>
      </c>
      <c r="G42" s="18" t="s">
        <v>280</v>
      </c>
    </row>
    <row r="43" spans="1:7" ht="16.5" customHeight="1">
      <c r="A43" s="2">
        <f>DATE(84,3,31)</f>
        <v>30772</v>
      </c>
      <c r="B43" s="3">
        <v>44464</v>
      </c>
      <c r="C43" s="3">
        <v>73020</v>
      </c>
      <c r="D43" s="3">
        <v>28555</v>
      </c>
      <c r="E43" s="18" t="s">
        <v>280</v>
      </c>
      <c r="F43" s="18" t="s">
        <v>280</v>
      </c>
      <c r="G43" s="18" t="s">
        <v>280</v>
      </c>
    </row>
    <row r="44" spans="1:7" ht="16.5" customHeight="1">
      <c r="A44" s="2">
        <f>DATE(84,4,30)</f>
        <v>30802</v>
      </c>
      <c r="B44" s="3">
        <v>80180</v>
      </c>
      <c r="C44" s="3">
        <v>68687</v>
      </c>
      <c r="D44" s="3">
        <v>-11493</v>
      </c>
      <c r="E44" s="18" t="s">
        <v>280</v>
      </c>
      <c r="F44" s="18" t="s">
        <v>280</v>
      </c>
      <c r="G44" s="18" t="s">
        <v>280</v>
      </c>
    </row>
    <row r="45" spans="1:7" ht="16.5" customHeight="1">
      <c r="A45" s="2">
        <f>DATE(84,5,31)</f>
        <v>30833</v>
      </c>
      <c r="B45" s="3">
        <v>37459</v>
      </c>
      <c r="C45" s="3">
        <v>71391</v>
      </c>
      <c r="D45" s="3">
        <v>33932</v>
      </c>
      <c r="E45" s="18" t="s">
        <v>280</v>
      </c>
      <c r="F45" s="18" t="s">
        <v>280</v>
      </c>
      <c r="G45" s="18" t="s">
        <v>280</v>
      </c>
    </row>
    <row r="46" spans="1:7" ht="16.5" customHeight="1">
      <c r="A46" s="2">
        <f>DATE(84,6,30)</f>
        <v>30863</v>
      </c>
      <c r="B46" s="3">
        <v>69282</v>
      </c>
      <c r="C46" s="3">
        <v>71283</v>
      </c>
      <c r="D46" s="3">
        <v>2000</v>
      </c>
      <c r="E46" s="18" t="s">
        <v>280</v>
      </c>
      <c r="F46" s="18" t="s">
        <v>280</v>
      </c>
      <c r="G46" s="18" t="s">
        <v>280</v>
      </c>
    </row>
    <row r="47" spans="1:7" ht="16.5" customHeight="1">
      <c r="A47" s="2">
        <f>DATE(84,7,31)</f>
        <v>30894</v>
      </c>
      <c r="B47" s="3">
        <v>52017</v>
      </c>
      <c r="C47" s="3">
        <v>68432</v>
      </c>
      <c r="D47" s="3">
        <v>16416</v>
      </c>
      <c r="E47" s="18" t="s">
        <v>280</v>
      </c>
      <c r="F47" s="18" t="s">
        <v>280</v>
      </c>
      <c r="G47" s="18" t="s">
        <v>280</v>
      </c>
    </row>
    <row r="48" spans="1:7" ht="16.5" customHeight="1">
      <c r="A48" s="2">
        <f>DATE(84,8,31)</f>
        <v>30925</v>
      </c>
      <c r="B48" s="3">
        <v>55209</v>
      </c>
      <c r="C48" s="3">
        <v>88707</v>
      </c>
      <c r="D48" s="3">
        <v>33498</v>
      </c>
      <c r="E48" s="18" t="s">
        <v>280</v>
      </c>
      <c r="F48" s="18" t="s">
        <v>280</v>
      </c>
      <c r="G48" s="18" t="s">
        <v>280</v>
      </c>
    </row>
    <row r="49" spans="1:7" ht="16.5" customHeight="1">
      <c r="A49" s="2">
        <f>DATE(84,9,30)</f>
        <v>30955</v>
      </c>
      <c r="B49" s="3">
        <v>68019</v>
      </c>
      <c r="C49" s="3">
        <v>51234</v>
      </c>
      <c r="D49" s="3">
        <v>-16785</v>
      </c>
      <c r="E49" s="18" t="s">
        <v>280</v>
      </c>
      <c r="F49" s="18" t="s">
        <v>280</v>
      </c>
      <c r="G49" s="18" t="s">
        <v>280</v>
      </c>
    </row>
    <row r="50" spans="1:7" ht="16.5" customHeight="1">
      <c r="A50" s="2">
        <f>DATE(84,10,31)</f>
        <v>30986</v>
      </c>
      <c r="B50" s="3">
        <v>52251</v>
      </c>
      <c r="C50" s="3">
        <v>80260</v>
      </c>
      <c r="D50" s="3">
        <v>28009</v>
      </c>
      <c r="E50" s="18" t="s">
        <v>280</v>
      </c>
      <c r="F50" s="18" t="s">
        <v>280</v>
      </c>
      <c r="G50" s="18" t="s">
        <v>280</v>
      </c>
    </row>
    <row r="51" spans="1:7" ht="16.5" customHeight="1">
      <c r="A51" s="2">
        <f>DATE(84,11,30)</f>
        <v>31016</v>
      </c>
      <c r="B51" s="3">
        <v>51494</v>
      </c>
      <c r="C51" s="3">
        <v>80390</v>
      </c>
      <c r="D51" s="3">
        <v>28896</v>
      </c>
      <c r="E51" s="18" t="s">
        <v>280</v>
      </c>
      <c r="F51" s="18" t="s">
        <v>280</v>
      </c>
      <c r="G51" s="18" t="s">
        <v>280</v>
      </c>
    </row>
    <row r="52" spans="1:7" ht="16.5" customHeight="1">
      <c r="A52" s="2">
        <f>DATE(84,12,31)</f>
        <v>31047</v>
      </c>
      <c r="B52" s="3">
        <v>62404</v>
      </c>
      <c r="C52" s="3">
        <v>76971</v>
      </c>
      <c r="D52" s="3">
        <v>14568</v>
      </c>
      <c r="E52" s="18" t="s">
        <v>280</v>
      </c>
      <c r="F52" s="18" t="s">
        <v>280</v>
      </c>
      <c r="G52" s="18" t="s">
        <v>280</v>
      </c>
    </row>
    <row r="53" spans="1:7" ht="16.5" customHeight="1">
      <c r="A53" s="2">
        <f>DATE(85,1,31)</f>
        <v>31078</v>
      </c>
      <c r="B53" s="3">
        <v>70454</v>
      </c>
      <c r="C53" s="3">
        <v>78446</v>
      </c>
      <c r="D53" s="3">
        <v>7992</v>
      </c>
      <c r="E53" s="18" t="s">
        <v>280</v>
      </c>
      <c r="F53" s="18" t="s">
        <v>280</v>
      </c>
      <c r="G53" s="18" t="s">
        <v>280</v>
      </c>
    </row>
    <row r="54" spans="1:7" ht="16.5" customHeight="1">
      <c r="A54" s="2">
        <f>DATE(85,2,28)</f>
        <v>31106</v>
      </c>
      <c r="B54" s="3">
        <v>54049</v>
      </c>
      <c r="C54" s="3">
        <v>75101</v>
      </c>
      <c r="D54" s="3">
        <v>21053</v>
      </c>
      <c r="E54" s="18" t="s">
        <v>280</v>
      </c>
      <c r="F54" s="18" t="s">
        <v>280</v>
      </c>
      <c r="G54" s="18" t="s">
        <v>280</v>
      </c>
    </row>
    <row r="55" spans="1:7" ht="16.5" customHeight="1">
      <c r="A55" s="2">
        <f>DATE(85,3,31)</f>
        <v>31137</v>
      </c>
      <c r="B55" s="3">
        <v>49613</v>
      </c>
      <c r="C55" s="3">
        <v>79115</v>
      </c>
      <c r="D55" s="3">
        <v>29502</v>
      </c>
      <c r="E55" s="18" t="s">
        <v>280</v>
      </c>
      <c r="F55" s="18" t="s">
        <v>280</v>
      </c>
      <c r="G55" s="18" t="s">
        <v>280</v>
      </c>
    </row>
    <row r="56" spans="1:7" ht="16.5" customHeight="1">
      <c r="A56" s="2">
        <f>DATE(85,4,30)</f>
        <v>31167</v>
      </c>
      <c r="B56" s="3">
        <v>94599</v>
      </c>
      <c r="C56" s="3">
        <v>83214</v>
      </c>
      <c r="D56" s="3">
        <v>-11386</v>
      </c>
      <c r="E56" s="18" t="s">
        <v>280</v>
      </c>
      <c r="F56" s="18" t="s">
        <v>280</v>
      </c>
      <c r="G56" s="18" t="s">
        <v>280</v>
      </c>
    </row>
    <row r="57" spans="1:7" ht="16.5" customHeight="1">
      <c r="A57" s="2">
        <f>DATE(85,5,31)</f>
        <v>31198</v>
      </c>
      <c r="B57" s="3">
        <v>39794</v>
      </c>
      <c r="C57" s="3">
        <v>81791</v>
      </c>
      <c r="D57" s="3">
        <v>41997</v>
      </c>
      <c r="E57" s="18" t="s">
        <v>280</v>
      </c>
      <c r="F57" s="18" t="s">
        <v>280</v>
      </c>
      <c r="G57" s="18" t="s">
        <v>280</v>
      </c>
    </row>
    <row r="58" spans="1:7" ht="16.5" customHeight="1">
      <c r="A58" s="2">
        <f>DATE(85,6,30)</f>
        <v>31228</v>
      </c>
      <c r="B58" s="3">
        <v>72151</v>
      </c>
      <c r="C58" s="3">
        <v>73559</v>
      </c>
      <c r="D58" s="3">
        <v>1408</v>
      </c>
      <c r="E58" s="18" t="s">
        <v>280</v>
      </c>
      <c r="F58" s="18" t="s">
        <v>280</v>
      </c>
      <c r="G58" s="18" t="s">
        <v>280</v>
      </c>
    </row>
    <row r="59" spans="1:7" ht="16.5" customHeight="1">
      <c r="A59" s="2">
        <f>DATE(85,7,31)</f>
        <v>31259</v>
      </c>
      <c r="B59" s="3">
        <v>57650</v>
      </c>
      <c r="C59" s="3">
        <v>79183</v>
      </c>
      <c r="D59" s="3">
        <v>21533</v>
      </c>
      <c r="E59" s="18" t="s">
        <v>280</v>
      </c>
      <c r="F59" s="18" t="s">
        <v>280</v>
      </c>
      <c r="G59" s="18" t="s">
        <v>280</v>
      </c>
    </row>
    <row r="60" spans="1:7" ht="16.5" customHeight="1">
      <c r="A60" s="2">
        <f>DATE(85,8,31)</f>
        <v>31290</v>
      </c>
      <c r="B60" s="3">
        <v>55781</v>
      </c>
      <c r="C60" s="3">
        <v>83378</v>
      </c>
      <c r="D60" s="3">
        <v>27597</v>
      </c>
      <c r="E60" s="18" t="s">
        <v>280</v>
      </c>
      <c r="F60" s="18" t="s">
        <v>280</v>
      </c>
      <c r="G60" s="18" t="s">
        <v>280</v>
      </c>
    </row>
    <row r="61" spans="1:7" ht="16.5" customHeight="1">
      <c r="A61" s="2">
        <f>DATE(85,9,30)</f>
        <v>31320</v>
      </c>
      <c r="B61" s="10" t="s">
        <v>183</v>
      </c>
      <c r="C61" s="10" t="s">
        <v>184</v>
      </c>
      <c r="D61" s="10" t="s">
        <v>185</v>
      </c>
      <c r="E61" s="18" t="s">
        <v>280</v>
      </c>
      <c r="F61" s="18" t="s">
        <v>280</v>
      </c>
      <c r="G61" s="18" t="s">
        <v>280</v>
      </c>
    </row>
    <row r="62" spans="1:7" ht="16.5" customHeight="1">
      <c r="A62" s="2">
        <f>DATE(85,10,31)</f>
        <v>31351</v>
      </c>
      <c r="B62" s="3">
        <v>57886</v>
      </c>
      <c r="C62" s="3">
        <v>84973</v>
      </c>
      <c r="D62" s="3">
        <v>27087</v>
      </c>
      <c r="E62" s="18" t="s">
        <v>280</v>
      </c>
      <c r="F62" s="18" t="s">
        <v>280</v>
      </c>
      <c r="G62" s="18" t="s">
        <v>280</v>
      </c>
    </row>
    <row r="63" spans="1:7" ht="16.5" customHeight="1">
      <c r="A63" s="2">
        <f>DATE(85,11,30)</f>
        <v>31381</v>
      </c>
      <c r="B63" s="3">
        <v>51166</v>
      </c>
      <c r="C63" s="3">
        <v>84551</v>
      </c>
      <c r="D63" s="3">
        <v>33386</v>
      </c>
      <c r="E63" s="18" t="s">
        <v>280</v>
      </c>
      <c r="F63" s="18" t="s">
        <v>280</v>
      </c>
      <c r="G63" s="18" t="s">
        <v>280</v>
      </c>
    </row>
    <row r="64" spans="1:7" ht="16.5" customHeight="1">
      <c r="A64" s="2">
        <f>DATE(85,12,31)</f>
        <v>31412</v>
      </c>
      <c r="B64" s="3">
        <v>68196</v>
      </c>
      <c r="C64" s="3">
        <v>82853</v>
      </c>
      <c r="D64" s="3">
        <v>14656</v>
      </c>
      <c r="E64" s="18" t="s">
        <v>280</v>
      </c>
      <c r="F64" s="18" t="s">
        <v>280</v>
      </c>
      <c r="G64" s="18" t="s">
        <v>280</v>
      </c>
    </row>
    <row r="65" spans="1:7" ht="16.5" customHeight="1">
      <c r="A65" s="2">
        <f>DATE(86,1,31)</f>
        <v>31443</v>
      </c>
      <c r="B65" s="3">
        <v>76698</v>
      </c>
      <c r="C65" s="3">
        <v>83189</v>
      </c>
      <c r="D65" s="3">
        <v>6492</v>
      </c>
      <c r="E65" s="18" t="s">
        <v>280</v>
      </c>
      <c r="F65" s="18" t="s">
        <v>280</v>
      </c>
      <c r="G65" s="18" t="s">
        <v>280</v>
      </c>
    </row>
    <row r="66" spans="1:7" ht="16.5" customHeight="1">
      <c r="A66" s="2">
        <f>DATE(86,2,28)</f>
        <v>31471</v>
      </c>
      <c r="B66" s="3">
        <v>53370</v>
      </c>
      <c r="C66" s="3">
        <v>77950</v>
      </c>
      <c r="D66" s="3">
        <v>24580</v>
      </c>
      <c r="E66" s="18" t="s">
        <v>280</v>
      </c>
      <c r="F66" s="18" t="s">
        <v>280</v>
      </c>
      <c r="G66" s="18" t="s">
        <v>280</v>
      </c>
    </row>
    <row r="67" spans="1:7" ht="16.5" customHeight="1">
      <c r="A67" s="2">
        <f>DATE(86,3,31)</f>
        <v>31502</v>
      </c>
      <c r="B67" s="3">
        <v>49557</v>
      </c>
      <c r="C67" s="3">
        <v>79700</v>
      </c>
      <c r="D67" s="3">
        <v>30142</v>
      </c>
      <c r="E67" s="18" t="s">
        <v>280</v>
      </c>
      <c r="F67" s="18" t="s">
        <v>280</v>
      </c>
      <c r="G67" s="18" t="s">
        <v>280</v>
      </c>
    </row>
    <row r="68" spans="1:7" ht="16.5" customHeight="1">
      <c r="A68" s="2">
        <f>DATE(86,4,30)</f>
        <v>31532</v>
      </c>
      <c r="B68" s="3">
        <v>91438</v>
      </c>
      <c r="C68" s="3">
        <v>81510</v>
      </c>
      <c r="D68" s="3">
        <v>-9928</v>
      </c>
      <c r="E68" s="18" t="s">
        <v>280</v>
      </c>
      <c r="F68" s="18" t="s">
        <v>280</v>
      </c>
      <c r="G68" s="18" t="s">
        <v>280</v>
      </c>
    </row>
    <row r="69" spans="1:7" ht="16.5" customHeight="1">
      <c r="A69" s="2">
        <f>DATE(86,5,31)</f>
        <v>31563</v>
      </c>
      <c r="B69" s="3">
        <v>46246</v>
      </c>
      <c r="C69" s="3">
        <v>85642</v>
      </c>
      <c r="D69" s="3">
        <v>39396</v>
      </c>
      <c r="E69" s="18" t="s">
        <v>280</v>
      </c>
      <c r="F69" s="18" t="s">
        <v>280</v>
      </c>
      <c r="G69" s="18" t="s">
        <v>280</v>
      </c>
    </row>
    <row r="70" spans="1:7" ht="16.5" customHeight="1">
      <c r="A70" s="2">
        <f>DATE(86,6,30)</f>
        <v>31593</v>
      </c>
      <c r="B70" s="3">
        <v>77024</v>
      </c>
      <c r="C70" s="3">
        <v>78067</v>
      </c>
      <c r="D70" s="3">
        <v>1044</v>
      </c>
      <c r="E70" s="18" t="s">
        <v>280</v>
      </c>
      <c r="F70" s="18" t="s">
        <v>280</v>
      </c>
      <c r="G70" s="18" t="s">
        <v>280</v>
      </c>
    </row>
    <row r="71" spans="1:7" ht="16.5" customHeight="1">
      <c r="A71" s="2">
        <f>DATE(86,7,31)</f>
        <v>31624</v>
      </c>
      <c r="B71" s="3">
        <v>62974</v>
      </c>
      <c r="C71" s="3">
        <v>85278</v>
      </c>
      <c r="D71" s="3">
        <v>22304</v>
      </c>
      <c r="E71" s="18" t="s">
        <v>280</v>
      </c>
      <c r="F71" s="18" t="s">
        <v>280</v>
      </c>
      <c r="G71" s="18" t="s">
        <v>280</v>
      </c>
    </row>
    <row r="72" spans="1:7" ht="16.5" customHeight="1">
      <c r="A72" s="2">
        <f>DATE(86,8,31)</f>
        <v>31655</v>
      </c>
      <c r="B72" s="3">
        <v>56523</v>
      </c>
      <c r="C72" s="3">
        <v>84579</v>
      </c>
      <c r="D72" s="3">
        <v>28056</v>
      </c>
      <c r="E72" s="18" t="s">
        <v>280</v>
      </c>
      <c r="F72" s="18" t="s">
        <v>280</v>
      </c>
      <c r="G72" s="18" t="s">
        <v>280</v>
      </c>
    </row>
    <row r="73" spans="1:7" ht="16.5" customHeight="1">
      <c r="A73" s="2">
        <f>DATE(86,9,30)</f>
        <v>31685</v>
      </c>
      <c r="B73" s="3">
        <v>78013</v>
      </c>
      <c r="C73" s="3">
        <v>81939</v>
      </c>
      <c r="D73" s="3">
        <v>3926</v>
      </c>
      <c r="E73" s="18" t="s">
        <v>280</v>
      </c>
      <c r="F73" s="18" t="s">
        <v>280</v>
      </c>
      <c r="G73" s="18" t="s">
        <v>280</v>
      </c>
    </row>
    <row r="74" spans="1:7" ht="16.5" customHeight="1">
      <c r="A74" s="2">
        <f>DATE(86,10,31)</f>
        <v>31716</v>
      </c>
      <c r="B74" s="3">
        <v>59012</v>
      </c>
      <c r="C74" s="3">
        <v>84302</v>
      </c>
      <c r="D74" s="3">
        <v>25290</v>
      </c>
      <c r="E74" s="18" t="s">
        <v>280</v>
      </c>
      <c r="F74" s="18" t="s">
        <v>280</v>
      </c>
      <c r="G74" s="18" t="s">
        <v>280</v>
      </c>
    </row>
    <row r="75" spans="1:7" ht="16.5" customHeight="1">
      <c r="A75" s="2">
        <f>DATE(86,11,30)</f>
        <v>31746</v>
      </c>
      <c r="B75" s="3">
        <v>52967</v>
      </c>
      <c r="C75" s="3">
        <v>80054</v>
      </c>
      <c r="D75" s="3">
        <v>27087</v>
      </c>
      <c r="E75" s="18" t="s">
        <v>280</v>
      </c>
      <c r="F75" s="18" t="s">
        <v>280</v>
      </c>
      <c r="G75" s="18" t="s">
        <v>280</v>
      </c>
    </row>
    <row r="76" spans="1:7" ht="16.5" customHeight="1">
      <c r="A76" s="2">
        <f>DATE(86,12,31)</f>
        <v>31777</v>
      </c>
      <c r="B76" s="3">
        <v>78035</v>
      </c>
      <c r="C76" s="3">
        <v>90404</v>
      </c>
      <c r="D76" s="3">
        <v>12369</v>
      </c>
      <c r="E76" s="18" t="s">
        <v>280</v>
      </c>
      <c r="F76" s="18" t="s">
        <v>280</v>
      </c>
      <c r="G76" s="18" t="s">
        <v>280</v>
      </c>
    </row>
    <row r="77" spans="1:7" ht="16.5" customHeight="1">
      <c r="A77" s="2">
        <f>DATE(87,1,31)</f>
        <v>31808</v>
      </c>
      <c r="B77" s="3">
        <v>81771</v>
      </c>
      <c r="C77" s="3">
        <v>83928</v>
      </c>
      <c r="D77" s="3">
        <v>2157</v>
      </c>
      <c r="E77" s="18" t="s">
        <v>280</v>
      </c>
      <c r="F77" s="18" t="s">
        <v>280</v>
      </c>
      <c r="G77" s="18" t="s">
        <v>280</v>
      </c>
    </row>
    <row r="78" spans="1:7" ht="16.5" customHeight="1">
      <c r="A78" s="2">
        <f>DATE(87,2,28)</f>
        <v>31836</v>
      </c>
      <c r="B78" s="3">
        <v>55463</v>
      </c>
      <c r="C78" s="3">
        <v>83842</v>
      </c>
      <c r="D78" s="3">
        <v>28379</v>
      </c>
      <c r="E78" s="18" t="s">
        <v>280</v>
      </c>
      <c r="F78" s="18" t="s">
        <v>280</v>
      </c>
      <c r="G78" s="18" t="s">
        <v>280</v>
      </c>
    </row>
    <row r="79" spans="1:7" ht="16.5" customHeight="1">
      <c r="A79" s="2">
        <f>DATE(87,3,31)</f>
        <v>31867</v>
      </c>
      <c r="B79" s="3">
        <v>56515</v>
      </c>
      <c r="C79" s="3">
        <v>84446</v>
      </c>
      <c r="D79" s="3">
        <v>27931</v>
      </c>
      <c r="E79" s="18" t="s">
        <v>280</v>
      </c>
      <c r="F79" s="18" t="s">
        <v>280</v>
      </c>
      <c r="G79" s="18" t="s">
        <v>280</v>
      </c>
    </row>
    <row r="80" spans="1:7" ht="16.5" customHeight="1">
      <c r="A80" s="2">
        <f>DATE(87,4,30)</f>
        <v>31897</v>
      </c>
      <c r="B80" s="3">
        <v>122897</v>
      </c>
      <c r="C80" s="3">
        <v>84155</v>
      </c>
      <c r="D80" s="3">
        <v>-38742</v>
      </c>
      <c r="E80" s="18" t="s">
        <v>280</v>
      </c>
      <c r="F80" s="18" t="s">
        <v>280</v>
      </c>
      <c r="G80" s="18" t="s">
        <v>280</v>
      </c>
    </row>
    <row r="81" spans="1:7" ht="16.5" customHeight="1">
      <c r="A81" s="2">
        <f>DATE(87,5,31)</f>
        <v>31928</v>
      </c>
      <c r="B81" s="3">
        <v>47691</v>
      </c>
      <c r="C81" s="3">
        <v>83328</v>
      </c>
      <c r="D81" s="3">
        <v>35637</v>
      </c>
      <c r="E81" s="18" t="s">
        <v>280</v>
      </c>
      <c r="F81" s="18" t="s">
        <v>280</v>
      </c>
      <c r="G81" s="18" t="s">
        <v>280</v>
      </c>
    </row>
    <row r="82" spans="1:7" ht="16.5" customHeight="1">
      <c r="A82" s="2">
        <f>DATE(87,6,30)</f>
        <v>31958</v>
      </c>
      <c r="B82" s="3">
        <v>82945</v>
      </c>
      <c r="C82" s="3">
        <v>83568</v>
      </c>
      <c r="D82" s="3">
        <v>623</v>
      </c>
      <c r="E82" s="18" t="s">
        <v>280</v>
      </c>
      <c r="F82" s="18" t="s">
        <v>280</v>
      </c>
      <c r="G82" s="18" t="s">
        <v>280</v>
      </c>
    </row>
    <row r="83" spans="1:7" ht="16.5" customHeight="1">
      <c r="A83" s="2">
        <f>DATE(87,7,31)</f>
        <v>31989</v>
      </c>
      <c r="B83" s="3">
        <v>64223</v>
      </c>
      <c r="C83" s="3">
        <v>86562</v>
      </c>
      <c r="D83" s="3">
        <v>22339</v>
      </c>
      <c r="E83" s="18" t="s">
        <v>280</v>
      </c>
      <c r="F83" s="18" t="s">
        <v>280</v>
      </c>
      <c r="G83" s="18" t="s">
        <v>280</v>
      </c>
    </row>
    <row r="84" spans="1:7" ht="16.5" customHeight="1">
      <c r="A84" s="2">
        <f>DATE(87,8,31)</f>
        <v>32020</v>
      </c>
      <c r="B84" s="3">
        <v>60213</v>
      </c>
      <c r="C84" s="3">
        <v>82009</v>
      </c>
      <c r="D84" s="3">
        <v>21796</v>
      </c>
      <c r="E84" s="18" t="s">
        <v>280</v>
      </c>
      <c r="F84" s="18" t="s">
        <v>280</v>
      </c>
      <c r="G84" s="18" t="s">
        <v>280</v>
      </c>
    </row>
    <row r="85" spans="1:7" ht="16.5" customHeight="1">
      <c r="A85" s="2">
        <f>DATE(87,9,30)</f>
        <v>32050</v>
      </c>
      <c r="B85" s="3">
        <v>92410</v>
      </c>
      <c r="C85" s="3">
        <v>77206</v>
      </c>
      <c r="D85" s="3">
        <v>-15204</v>
      </c>
      <c r="E85" s="18" t="s">
        <v>280</v>
      </c>
      <c r="F85" s="18" t="s">
        <v>280</v>
      </c>
      <c r="G85" s="18" t="s">
        <v>280</v>
      </c>
    </row>
    <row r="86" spans="1:7" ht="16.5" customHeight="1">
      <c r="A86" s="2">
        <f>DATE(87,10,31)</f>
        <v>32081</v>
      </c>
      <c r="B86" s="3">
        <v>62295</v>
      </c>
      <c r="C86" s="3">
        <v>93105</v>
      </c>
      <c r="D86" s="3">
        <v>30810</v>
      </c>
      <c r="E86" s="18" t="s">
        <v>280</v>
      </c>
      <c r="F86" s="18" t="s">
        <v>280</v>
      </c>
      <c r="G86" s="18" t="s">
        <v>280</v>
      </c>
    </row>
    <row r="87" spans="1:7" ht="16.5" customHeight="1">
      <c r="A87" s="2">
        <f>DATE(87,11,30)</f>
        <v>32111</v>
      </c>
      <c r="B87" s="3">
        <v>56915</v>
      </c>
      <c r="C87" s="3">
        <v>83937</v>
      </c>
      <c r="D87" s="3">
        <v>27022</v>
      </c>
      <c r="E87" s="18" t="s">
        <v>280</v>
      </c>
      <c r="F87" s="18" t="s">
        <v>280</v>
      </c>
      <c r="G87" s="18" t="s">
        <v>280</v>
      </c>
    </row>
    <row r="88" spans="1:7" ht="16.5" customHeight="1">
      <c r="A88" s="2">
        <f>DATE(87,12,31)</f>
        <v>32142</v>
      </c>
      <c r="B88" s="3">
        <v>85469</v>
      </c>
      <c r="C88" s="3">
        <v>109833</v>
      </c>
      <c r="D88" s="3">
        <v>24363</v>
      </c>
      <c r="E88" s="18" t="s">
        <v>280</v>
      </c>
      <c r="F88" s="18" t="s">
        <v>280</v>
      </c>
      <c r="G88" s="18" t="s">
        <v>280</v>
      </c>
    </row>
    <row r="89" spans="1:7" ht="16.5" customHeight="1">
      <c r="A89" s="2">
        <f>DATE(88,1,31)</f>
        <v>32173</v>
      </c>
      <c r="B89" s="3">
        <v>81740</v>
      </c>
      <c r="C89" s="3">
        <v>65844</v>
      </c>
      <c r="D89" s="3">
        <v>-15896</v>
      </c>
      <c r="E89" s="18" t="s">
        <v>280</v>
      </c>
      <c r="F89" s="18" t="s">
        <v>280</v>
      </c>
      <c r="G89" s="18" t="s">
        <v>280</v>
      </c>
    </row>
    <row r="90" spans="1:7" ht="16.5" customHeight="1">
      <c r="A90" s="2">
        <f>DATE(88,2,28)</f>
        <v>32201</v>
      </c>
      <c r="B90" s="3">
        <v>60279</v>
      </c>
      <c r="C90" s="3">
        <v>84344</v>
      </c>
      <c r="D90" s="3">
        <v>24065</v>
      </c>
      <c r="E90" s="18" t="s">
        <v>280</v>
      </c>
      <c r="F90" s="18" t="s">
        <v>280</v>
      </c>
      <c r="G90" s="18" t="s">
        <v>280</v>
      </c>
    </row>
    <row r="91" spans="1:7" ht="16.5" customHeight="1">
      <c r="A91" s="2">
        <f>DATE(88,3,31)</f>
        <v>32233</v>
      </c>
      <c r="B91" s="3">
        <v>65664</v>
      </c>
      <c r="C91" s="3">
        <v>94947</v>
      </c>
      <c r="D91" s="3">
        <v>29283</v>
      </c>
      <c r="E91" s="18" t="s">
        <v>280</v>
      </c>
      <c r="F91" s="18" t="s">
        <v>280</v>
      </c>
      <c r="G91" s="18" t="s">
        <v>280</v>
      </c>
    </row>
    <row r="92" spans="1:7" ht="16.5" customHeight="1">
      <c r="A92" s="2">
        <f>DATE(88,4,30)</f>
        <v>32263</v>
      </c>
      <c r="B92" s="3">
        <v>109266</v>
      </c>
      <c r="C92" s="3">
        <v>95497</v>
      </c>
      <c r="D92" s="3">
        <v>-13769</v>
      </c>
      <c r="E92" s="18" t="s">
        <v>280</v>
      </c>
      <c r="F92" s="18" t="s">
        <v>280</v>
      </c>
      <c r="G92" s="18" t="s">
        <v>280</v>
      </c>
    </row>
    <row r="93" spans="1:7" ht="16.5" customHeight="1">
      <c r="A93" s="2">
        <f>DATE(88,5,31)</f>
        <v>32294</v>
      </c>
      <c r="B93" s="3">
        <v>59635</v>
      </c>
      <c r="C93" s="3">
        <v>82218</v>
      </c>
      <c r="D93" s="3">
        <v>22583</v>
      </c>
      <c r="E93" s="18" t="s">
        <v>280</v>
      </c>
      <c r="F93" s="18" t="s">
        <v>280</v>
      </c>
      <c r="G93" s="18" t="s">
        <v>280</v>
      </c>
    </row>
    <row r="94" spans="1:7" ht="16.5" customHeight="1">
      <c r="A94" s="2">
        <f>DATE(88,6,30)</f>
        <v>32324</v>
      </c>
      <c r="B94" s="10" t="s">
        <v>186</v>
      </c>
      <c r="C94" s="10" t="s">
        <v>187</v>
      </c>
      <c r="D94" s="10" t="s">
        <v>188</v>
      </c>
      <c r="E94" s="18" t="s">
        <v>280</v>
      </c>
      <c r="F94" s="18" t="s">
        <v>280</v>
      </c>
      <c r="G94" s="18" t="s">
        <v>280</v>
      </c>
    </row>
    <row r="95" spans="1:7" ht="16.5" customHeight="1">
      <c r="A95" s="2">
        <f>DATE(88,7,31)</f>
        <v>32355</v>
      </c>
      <c r="B95" s="3">
        <v>60631</v>
      </c>
      <c r="C95" s="3">
        <v>83549</v>
      </c>
      <c r="D95" s="3">
        <v>22918</v>
      </c>
      <c r="E95" s="18" t="s">
        <v>280</v>
      </c>
      <c r="F95" s="18" t="s">
        <v>280</v>
      </c>
      <c r="G95" s="18" t="s">
        <v>280</v>
      </c>
    </row>
    <row r="96" spans="1:7" ht="16.5" customHeight="1">
      <c r="A96" s="2">
        <f>DATE(88,8,31)</f>
        <v>32386</v>
      </c>
      <c r="B96" s="3">
        <v>69390</v>
      </c>
      <c r="C96" s="3">
        <v>92468</v>
      </c>
      <c r="D96" s="3">
        <v>23079</v>
      </c>
      <c r="E96" s="18" t="s">
        <v>280</v>
      </c>
      <c r="F96" s="18" t="s">
        <v>280</v>
      </c>
      <c r="G96" s="18" t="s">
        <v>280</v>
      </c>
    </row>
    <row r="97" spans="1:7" ht="16.5" customHeight="1">
      <c r="A97" s="2">
        <f>DATE(88,9,30)</f>
        <v>32416</v>
      </c>
      <c r="B97" s="3">
        <v>97742</v>
      </c>
      <c r="C97" s="3">
        <v>87569</v>
      </c>
      <c r="D97" s="3">
        <v>-10173</v>
      </c>
      <c r="E97" s="18" t="s">
        <v>280</v>
      </c>
      <c r="F97" s="18" t="s">
        <v>280</v>
      </c>
      <c r="G97" s="18" t="s">
        <v>280</v>
      </c>
    </row>
    <row r="98" spans="1:7" ht="16.5" customHeight="1">
      <c r="A98" s="2">
        <f>DATE(88,10,31)</f>
        <v>32447</v>
      </c>
      <c r="B98" s="3">
        <v>63582</v>
      </c>
      <c r="C98" s="3">
        <v>90587</v>
      </c>
      <c r="D98" s="3">
        <v>27005</v>
      </c>
      <c r="E98" s="18" t="s">
        <v>280</v>
      </c>
      <c r="F98" s="18" t="s">
        <v>280</v>
      </c>
      <c r="G98" s="18" t="s">
        <v>280</v>
      </c>
    </row>
    <row r="99" spans="1:7" ht="16.5" customHeight="1">
      <c r="A99" s="2">
        <f>DATE(88,11,30)</f>
        <v>32477</v>
      </c>
      <c r="B99" s="3">
        <v>64330</v>
      </c>
      <c r="C99" s="3">
        <v>93470</v>
      </c>
      <c r="D99" s="3">
        <v>29140</v>
      </c>
      <c r="E99" s="18" t="s">
        <v>280</v>
      </c>
      <c r="F99" s="18" t="s">
        <v>280</v>
      </c>
      <c r="G99" s="18" t="s">
        <v>280</v>
      </c>
    </row>
    <row r="100" spans="1:7" ht="16.5" customHeight="1">
      <c r="A100" s="2">
        <f>DATE(88,12,31)</f>
        <v>32508</v>
      </c>
      <c r="B100" s="3">
        <v>93655</v>
      </c>
      <c r="C100" s="3">
        <v>106446</v>
      </c>
      <c r="D100" s="3">
        <v>12790</v>
      </c>
      <c r="E100" s="18" t="s">
        <v>280</v>
      </c>
      <c r="F100" s="18" t="s">
        <v>280</v>
      </c>
      <c r="G100" s="18" t="s">
        <v>280</v>
      </c>
    </row>
    <row r="101" spans="1:7" ht="16.5" customHeight="1">
      <c r="A101" s="2">
        <f>DATE(89,1,31)</f>
        <v>32539</v>
      </c>
      <c r="B101" s="3">
        <v>89306</v>
      </c>
      <c r="C101" s="3">
        <v>86509</v>
      </c>
      <c r="D101" s="3">
        <v>-2797</v>
      </c>
      <c r="E101" s="18" t="s">
        <v>280</v>
      </c>
      <c r="F101" s="18" t="s">
        <v>280</v>
      </c>
      <c r="G101" s="18" t="s">
        <v>280</v>
      </c>
    </row>
    <row r="102" spans="1:7" ht="16.5" customHeight="1">
      <c r="A102" s="2">
        <f>DATE(89,2,28)</f>
        <v>32567</v>
      </c>
      <c r="B102" s="3">
        <v>61897</v>
      </c>
      <c r="C102" s="3">
        <v>89769</v>
      </c>
      <c r="D102" s="3">
        <v>27871</v>
      </c>
      <c r="E102" s="18" t="s">
        <v>280</v>
      </c>
      <c r="F102" s="18" t="s">
        <v>280</v>
      </c>
      <c r="G102" s="18" t="s">
        <v>280</v>
      </c>
    </row>
    <row r="103" spans="1:7" ht="16.5" customHeight="1">
      <c r="A103" s="2">
        <f>DATE(89,3,31)</f>
        <v>32598</v>
      </c>
      <c r="B103" s="3">
        <v>68205</v>
      </c>
      <c r="C103" s="3">
        <v>103988</v>
      </c>
      <c r="D103" s="3">
        <v>35784</v>
      </c>
      <c r="E103" s="18" t="s">
        <v>280</v>
      </c>
      <c r="F103" s="18" t="s">
        <v>280</v>
      </c>
      <c r="G103" s="18" t="s">
        <v>280</v>
      </c>
    </row>
    <row r="104" spans="1:7" ht="16.5" customHeight="1">
      <c r="A104" s="2">
        <f>DATE(89,4,30)</f>
        <v>32628</v>
      </c>
      <c r="B104" s="3">
        <v>128892</v>
      </c>
      <c r="C104" s="3">
        <v>88237</v>
      </c>
      <c r="D104" s="3">
        <v>-40654</v>
      </c>
      <c r="E104" s="18" t="s">
        <v>280</v>
      </c>
      <c r="F104" s="18" t="s">
        <v>280</v>
      </c>
      <c r="G104" s="18" t="s">
        <v>280</v>
      </c>
    </row>
    <row r="105" spans="1:7" ht="16.5" customHeight="1">
      <c r="A105" s="2">
        <f>DATE(89,5,31)</f>
        <v>32659</v>
      </c>
      <c r="B105" s="3">
        <v>71025</v>
      </c>
      <c r="C105" s="3">
        <v>96458</v>
      </c>
      <c r="D105" s="3">
        <v>25433</v>
      </c>
      <c r="E105" s="18" t="s">
        <v>280</v>
      </c>
      <c r="F105" s="18" t="s">
        <v>280</v>
      </c>
      <c r="G105" s="18" t="s">
        <v>280</v>
      </c>
    </row>
    <row r="106" spans="1:7" ht="16.5" customHeight="1">
      <c r="A106" s="2">
        <f>DATE(89,6,30)</f>
        <v>32689</v>
      </c>
      <c r="B106" s="3">
        <v>108249</v>
      </c>
      <c r="C106" s="3">
        <v>100464</v>
      </c>
      <c r="D106" s="3">
        <v>-7785</v>
      </c>
      <c r="E106" s="18" t="s">
        <v>280</v>
      </c>
      <c r="F106" s="18" t="s">
        <v>280</v>
      </c>
      <c r="G106" s="18" t="s">
        <v>280</v>
      </c>
    </row>
    <row r="107" spans="1:7" ht="16.5" customHeight="1">
      <c r="A107" s="2">
        <f>DATE(89,7,31)</f>
        <v>32720</v>
      </c>
      <c r="B107" s="3">
        <v>66191</v>
      </c>
      <c r="C107" s="3">
        <v>84428</v>
      </c>
      <c r="D107" s="3">
        <v>18237</v>
      </c>
      <c r="E107" s="18" t="s">
        <v>280</v>
      </c>
      <c r="F107" s="18" t="s">
        <v>280</v>
      </c>
      <c r="G107" s="18" t="s">
        <v>280</v>
      </c>
    </row>
    <row r="108" spans="1:7" ht="16.5" customHeight="1">
      <c r="A108" s="2">
        <f>DATE(89,8,31)</f>
        <v>32751</v>
      </c>
      <c r="B108" s="3">
        <v>76136</v>
      </c>
      <c r="C108" s="3">
        <v>98286</v>
      </c>
      <c r="D108" s="3">
        <v>22150</v>
      </c>
      <c r="E108" s="18" t="s">
        <v>280</v>
      </c>
      <c r="F108" s="18" t="s">
        <v>280</v>
      </c>
      <c r="G108" s="18" t="s">
        <v>280</v>
      </c>
    </row>
    <row r="109" spans="1:7" ht="16.5" customHeight="1">
      <c r="A109" s="2">
        <f>DATE(89,9,30)</f>
        <v>32781</v>
      </c>
      <c r="B109" s="3">
        <v>99233</v>
      </c>
      <c r="C109" s="3">
        <v>105378</v>
      </c>
      <c r="D109" s="3">
        <v>6146</v>
      </c>
      <c r="E109" s="18" t="s">
        <v>280</v>
      </c>
      <c r="F109" s="18" t="s">
        <v>280</v>
      </c>
      <c r="G109" s="18" t="s">
        <v>280</v>
      </c>
    </row>
    <row r="110" spans="1:7" ht="16.5" customHeight="1">
      <c r="A110" s="2">
        <f>DATE(89,10,31)</f>
        <v>32812</v>
      </c>
      <c r="B110" s="3">
        <v>68420</v>
      </c>
      <c r="C110" s="3">
        <v>94503</v>
      </c>
      <c r="D110" s="3">
        <v>26084</v>
      </c>
      <c r="E110" s="18" t="s">
        <v>280</v>
      </c>
      <c r="F110" s="18" t="s">
        <v>280</v>
      </c>
      <c r="G110" s="18" t="s">
        <v>280</v>
      </c>
    </row>
    <row r="111" spans="1:7" ht="16.5" customHeight="1">
      <c r="A111" s="2">
        <f>DATE(89,11,30)</f>
        <v>32842</v>
      </c>
      <c r="B111" s="3">
        <v>71174</v>
      </c>
      <c r="C111" s="3">
        <v>100906</v>
      </c>
      <c r="D111" s="3">
        <v>29732</v>
      </c>
      <c r="E111" s="18" t="s">
        <v>280</v>
      </c>
      <c r="F111" s="18" t="s">
        <v>280</v>
      </c>
      <c r="G111" s="18" t="s">
        <v>280</v>
      </c>
    </row>
    <row r="112" spans="1:7" ht="16.5" customHeight="1">
      <c r="A112" s="2">
        <f>DATE(89,12,31)</f>
        <v>32873</v>
      </c>
      <c r="B112" s="3">
        <v>89122</v>
      </c>
      <c r="C112" s="3">
        <v>103893</v>
      </c>
      <c r="D112" s="3">
        <v>14772</v>
      </c>
      <c r="E112" s="18" t="s">
        <v>280</v>
      </c>
      <c r="F112" s="18" t="s">
        <v>280</v>
      </c>
      <c r="G112" s="18" t="s">
        <v>280</v>
      </c>
    </row>
    <row r="113" spans="1:7" ht="16.5" customHeight="1">
      <c r="A113" s="2">
        <f>DATE(90,1,31)</f>
        <v>32904</v>
      </c>
      <c r="B113" s="3">
        <v>99524</v>
      </c>
      <c r="C113" s="3">
        <v>91242</v>
      </c>
      <c r="D113" s="3">
        <v>-8282</v>
      </c>
      <c r="E113" s="18" t="s">
        <v>280</v>
      </c>
      <c r="F113" s="18" t="s">
        <v>280</v>
      </c>
      <c r="G113" s="18" t="s">
        <v>280</v>
      </c>
    </row>
    <row r="114" spans="1:7" ht="16.5" customHeight="1">
      <c r="A114" s="2">
        <f>DATE(90,2,28)</f>
        <v>32932</v>
      </c>
      <c r="B114" s="3">
        <v>65141</v>
      </c>
      <c r="C114" s="3">
        <v>100348</v>
      </c>
      <c r="D114" s="3">
        <v>35207</v>
      </c>
      <c r="E114" s="18" t="s">
        <v>280</v>
      </c>
      <c r="F114" s="18" t="s">
        <v>280</v>
      </c>
      <c r="G114" s="18" t="s">
        <v>280</v>
      </c>
    </row>
    <row r="115" spans="1:7" ht="16.5" customHeight="1">
      <c r="A115" s="2">
        <f>DATE(90,3,31)</f>
        <v>32963</v>
      </c>
      <c r="B115" s="3">
        <v>64805</v>
      </c>
      <c r="C115" s="3">
        <v>118128</v>
      </c>
      <c r="D115" s="3">
        <v>53324</v>
      </c>
      <c r="E115" s="18" t="s">
        <v>280</v>
      </c>
      <c r="F115" s="18" t="s">
        <v>280</v>
      </c>
      <c r="G115" s="18" t="s">
        <v>280</v>
      </c>
    </row>
    <row r="116" spans="1:7" ht="16.5" customHeight="1">
      <c r="A116" s="2">
        <f>DATE(90,4,30)</f>
        <v>32993</v>
      </c>
      <c r="B116" s="3">
        <v>139604</v>
      </c>
      <c r="C116" s="3">
        <v>97775</v>
      </c>
      <c r="D116" s="3">
        <v>-41829</v>
      </c>
      <c r="E116" s="18" t="s">
        <v>280</v>
      </c>
      <c r="F116" s="18" t="s">
        <v>280</v>
      </c>
      <c r="G116" s="18" t="s">
        <v>280</v>
      </c>
    </row>
    <row r="117" spans="1:7" ht="16.5" customHeight="1">
      <c r="A117" s="2">
        <f>DATE(90,5,31)</f>
        <v>33024</v>
      </c>
      <c r="B117" s="3">
        <v>69186</v>
      </c>
      <c r="C117" s="3">
        <v>111668</v>
      </c>
      <c r="D117" s="3">
        <v>42482</v>
      </c>
      <c r="E117" s="18" t="s">
        <v>280</v>
      </c>
      <c r="F117" s="18" t="s">
        <v>280</v>
      </c>
      <c r="G117" s="18" t="s">
        <v>280</v>
      </c>
    </row>
    <row r="118" spans="1:7" ht="16.5" customHeight="1">
      <c r="A118" s="2">
        <f>DATE(90,6,30)</f>
        <v>33054</v>
      </c>
      <c r="B118" s="3">
        <v>110601</v>
      </c>
      <c r="C118" s="3">
        <v>121706</v>
      </c>
      <c r="D118" s="3">
        <v>11105</v>
      </c>
      <c r="E118" s="18" t="s">
        <v>280</v>
      </c>
      <c r="F118" s="18" t="s">
        <v>280</v>
      </c>
      <c r="G118" s="18" t="s">
        <v>280</v>
      </c>
    </row>
    <row r="119" spans="1:7" ht="16.5" customHeight="1">
      <c r="A119" s="2">
        <f>DATE(90,7,31)</f>
        <v>33085</v>
      </c>
      <c r="B119" s="3">
        <v>72329</v>
      </c>
      <c r="C119" s="3">
        <v>98253</v>
      </c>
      <c r="D119" s="3">
        <v>25924</v>
      </c>
      <c r="E119" s="18" t="s">
        <v>280</v>
      </c>
      <c r="F119" s="18" t="s">
        <v>280</v>
      </c>
      <c r="G119" s="18" t="s">
        <v>280</v>
      </c>
    </row>
    <row r="120" spans="1:7" ht="16.5" customHeight="1">
      <c r="A120" s="2">
        <f>DATE(90,8,31)</f>
        <v>33116</v>
      </c>
      <c r="B120" s="3">
        <v>78462</v>
      </c>
      <c r="C120" s="3">
        <v>131181</v>
      </c>
      <c r="D120" s="3">
        <v>52719</v>
      </c>
      <c r="E120" s="18" t="s">
        <v>280</v>
      </c>
      <c r="F120" s="18" t="s">
        <v>280</v>
      </c>
      <c r="G120" s="18" t="s">
        <v>280</v>
      </c>
    </row>
    <row r="121" spans="1:7" ht="16.5" customHeight="1">
      <c r="A121" s="2">
        <f>DATE(90,9,30)</f>
        <v>33146</v>
      </c>
      <c r="B121" s="3">
        <v>102939</v>
      </c>
      <c r="C121" s="3">
        <v>82171</v>
      </c>
      <c r="D121" s="3">
        <v>-20768</v>
      </c>
      <c r="E121" s="18" t="s">
        <v>280</v>
      </c>
      <c r="F121" s="18" t="s">
        <v>280</v>
      </c>
      <c r="G121" s="18" t="s">
        <v>280</v>
      </c>
    </row>
    <row r="122" spans="1:7" ht="16.5" customHeight="1">
      <c r="A122" s="2">
        <f>DATE(90,10,31)</f>
        <v>33177</v>
      </c>
      <c r="B122" s="3">
        <v>76986</v>
      </c>
      <c r="C122" s="3">
        <v>108350</v>
      </c>
      <c r="D122" s="3">
        <v>31364</v>
      </c>
      <c r="E122" s="18" t="s">
        <v>280</v>
      </c>
      <c r="F122" s="18" t="s">
        <v>280</v>
      </c>
      <c r="G122" s="18" t="s">
        <v>280</v>
      </c>
    </row>
    <row r="123" spans="1:7" ht="16.5" customHeight="1">
      <c r="A123" s="2">
        <f>DATE(90,11,30)</f>
        <v>33207</v>
      </c>
      <c r="B123" s="3">
        <v>70507</v>
      </c>
      <c r="C123" s="3">
        <v>118230</v>
      </c>
      <c r="D123" s="3">
        <v>47723</v>
      </c>
      <c r="E123" s="18" t="s">
        <v>280</v>
      </c>
      <c r="F123" s="18" t="s">
        <v>280</v>
      </c>
      <c r="G123" s="18" t="s">
        <v>280</v>
      </c>
    </row>
    <row r="124" spans="1:7" ht="16.5" customHeight="1">
      <c r="A124" s="2">
        <f>DATE(90,12,31)</f>
        <v>33238</v>
      </c>
      <c r="B124" s="3">
        <v>101900</v>
      </c>
      <c r="C124" s="3">
        <v>109287</v>
      </c>
      <c r="D124" s="3">
        <v>7387</v>
      </c>
      <c r="E124" s="18" t="s">
        <v>280</v>
      </c>
      <c r="F124" s="18" t="s">
        <v>280</v>
      </c>
      <c r="G124" s="18" t="s">
        <v>280</v>
      </c>
    </row>
    <row r="125" spans="1:7" ht="16.5" customHeight="1">
      <c r="A125" s="2">
        <f>DATE(91,1,31)</f>
        <v>33269</v>
      </c>
      <c r="B125" s="3">
        <v>100713</v>
      </c>
      <c r="C125" s="3">
        <v>99062</v>
      </c>
      <c r="D125" s="3">
        <v>-1650</v>
      </c>
      <c r="E125" s="18" t="s">
        <v>280</v>
      </c>
      <c r="F125" s="18" t="s">
        <v>280</v>
      </c>
      <c r="G125" s="18" t="s">
        <v>280</v>
      </c>
    </row>
    <row r="126" spans="1:7" ht="16.5" customHeight="1">
      <c r="A126" s="2">
        <f>DATE(91,2,28)</f>
        <v>33297</v>
      </c>
      <c r="B126" s="3">
        <v>67657</v>
      </c>
      <c r="C126" s="3">
        <v>93848</v>
      </c>
      <c r="D126" s="3">
        <v>26191</v>
      </c>
      <c r="E126" s="18" t="s">
        <v>280</v>
      </c>
      <c r="F126" s="18" t="s">
        <v>280</v>
      </c>
      <c r="G126" s="18" t="s">
        <v>280</v>
      </c>
    </row>
    <row r="127" spans="1:7" ht="16.5" customHeight="1">
      <c r="A127" s="2">
        <f>DATE(91,3,31)</f>
        <v>33328</v>
      </c>
      <c r="B127" s="3">
        <v>64805</v>
      </c>
      <c r="C127" s="3">
        <v>105978</v>
      </c>
      <c r="D127" s="3">
        <v>41173</v>
      </c>
      <c r="E127" s="18" t="s">
        <v>280</v>
      </c>
      <c r="F127" s="18" t="s">
        <v>280</v>
      </c>
      <c r="G127" s="18" t="s">
        <v>280</v>
      </c>
    </row>
    <row r="128" spans="1:7" ht="16.5" customHeight="1">
      <c r="A128" s="2">
        <f>DATE(91,4,30)</f>
        <v>33358</v>
      </c>
      <c r="B128" s="3">
        <v>140380</v>
      </c>
      <c r="C128" s="3">
        <v>110371</v>
      </c>
      <c r="D128" s="3">
        <v>-30009</v>
      </c>
      <c r="E128" s="18" t="s">
        <v>280</v>
      </c>
      <c r="F128" s="18" t="s">
        <v>280</v>
      </c>
      <c r="G128" s="18" t="s">
        <v>280</v>
      </c>
    </row>
    <row r="129" spans="1:7" ht="16.5" customHeight="1">
      <c r="A129" s="2">
        <f>DATE(91,5,31)</f>
        <v>33389</v>
      </c>
      <c r="B129" s="3">
        <v>63560</v>
      </c>
      <c r="C129" s="3">
        <v>116926</v>
      </c>
      <c r="D129" s="3">
        <v>53367</v>
      </c>
      <c r="E129" s="18" t="s">
        <v>280</v>
      </c>
      <c r="F129" s="18" t="s">
        <v>280</v>
      </c>
      <c r="G129" s="18" t="s">
        <v>280</v>
      </c>
    </row>
    <row r="130" spans="1:7" ht="16.5" customHeight="1">
      <c r="A130" s="2">
        <f>DATE(91,6,30)</f>
        <v>33419</v>
      </c>
      <c r="B130" s="3">
        <v>103389</v>
      </c>
      <c r="C130" s="3">
        <v>105968</v>
      </c>
      <c r="D130" s="3">
        <v>2579</v>
      </c>
      <c r="E130" s="18" t="s">
        <v>280</v>
      </c>
      <c r="F130" s="18" t="s">
        <v>280</v>
      </c>
      <c r="G130" s="18" t="s">
        <v>280</v>
      </c>
    </row>
    <row r="131" spans="1:7" ht="16.5" customHeight="1">
      <c r="A131" s="2">
        <f>DATE(91,7,31)</f>
        <v>33450</v>
      </c>
      <c r="B131" s="3">
        <v>78593</v>
      </c>
      <c r="C131" s="3">
        <v>119424</v>
      </c>
      <c r="D131" s="3">
        <v>40831</v>
      </c>
      <c r="E131" s="18" t="s">
        <v>280</v>
      </c>
      <c r="F131" s="18" t="s">
        <v>280</v>
      </c>
      <c r="G131" s="18" t="s">
        <v>280</v>
      </c>
    </row>
    <row r="132" spans="1:7" ht="16.5" customHeight="1">
      <c r="A132" s="2">
        <f>DATE(91,8,31)</f>
        <v>33481</v>
      </c>
      <c r="B132" s="3">
        <v>76426</v>
      </c>
      <c r="C132" s="3">
        <v>120075</v>
      </c>
      <c r="D132" s="3">
        <v>43649</v>
      </c>
      <c r="E132" s="18" t="s">
        <v>280</v>
      </c>
      <c r="F132" s="18" t="s">
        <v>280</v>
      </c>
      <c r="G132" s="18" t="s">
        <v>280</v>
      </c>
    </row>
    <row r="133" spans="1:7" ht="16.5" customHeight="1">
      <c r="A133" s="2">
        <f>DATE(91,9,30)</f>
        <v>33511</v>
      </c>
      <c r="B133" s="3">
        <v>109350</v>
      </c>
      <c r="C133" s="3">
        <v>116237</v>
      </c>
      <c r="D133" s="3">
        <v>6887</v>
      </c>
      <c r="E133" s="18" t="s">
        <v>280</v>
      </c>
      <c r="F133" s="18" t="s">
        <v>280</v>
      </c>
      <c r="G133" s="18" t="s">
        <v>280</v>
      </c>
    </row>
    <row r="134" spans="1:7" ht="16.5" customHeight="1">
      <c r="A134" s="2">
        <f>DATE(91,10,31)</f>
        <v>33542</v>
      </c>
      <c r="B134" s="3">
        <v>78065</v>
      </c>
      <c r="C134" s="3">
        <v>114659</v>
      </c>
      <c r="D134" s="3">
        <v>36594</v>
      </c>
      <c r="E134" s="18" t="s">
        <v>280</v>
      </c>
      <c r="F134" s="18" t="s">
        <v>280</v>
      </c>
      <c r="G134" s="18" t="s">
        <v>280</v>
      </c>
    </row>
    <row r="135" spans="1:7" ht="16.5" customHeight="1">
      <c r="A135" s="2">
        <f>DATE(91,11,30)</f>
        <v>33572</v>
      </c>
      <c r="B135" s="3">
        <v>73095</v>
      </c>
      <c r="C135" s="3">
        <v>117779</v>
      </c>
      <c r="D135" s="3">
        <v>44684</v>
      </c>
      <c r="E135" s="18" t="s">
        <v>280</v>
      </c>
      <c r="F135" s="18" t="s">
        <v>280</v>
      </c>
      <c r="G135" s="18" t="s">
        <v>280</v>
      </c>
    </row>
    <row r="136" spans="1:7" ht="16.5" customHeight="1">
      <c r="A136" s="2">
        <f>DATE(91,12,31)</f>
        <v>33603</v>
      </c>
      <c r="B136" s="3">
        <v>103636</v>
      </c>
      <c r="C136" s="3">
        <v>106170</v>
      </c>
      <c r="D136" s="3">
        <v>2534</v>
      </c>
      <c r="E136" s="18" t="s">
        <v>280</v>
      </c>
      <c r="F136" s="18" t="s">
        <v>280</v>
      </c>
      <c r="G136" s="18" t="s">
        <v>280</v>
      </c>
    </row>
    <row r="137" spans="1:7" ht="16.5" customHeight="1">
      <c r="A137" s="2">
        <f>DATE(92,1,31)</f>
        <v>33634</v>
      </c>
      <c r="B137" s="3">
        <v>104031</v>
      </c>
      <c r="C137" s="3">
        <v>119699</v>
      </c>
      <c r="D137" s="3">
        <v>15668</v>
      </c>
      <c r="E137" s="18" t="s">
        <v>280</v>
      </c>
      <c r="F137" s="18" t="s">
        <v>280</v>
      </c>
      <c r="G137" s="18" t="s">
        <v>280</v>
      </c>
    </row>
    <row r="138" spans="1:7" ht="16.5" customHeight="1">
      <c r="A138" s="2">
        <f>DATE(92,2,28)</f>
        <v>33662</v>
      </c>
      <c r="B138" s="3">
        <v>62747</v>
      </c>
      <c r="C138" s="3">
        <v>111927</v>
      </c>
      <c r="D138" s="3">
        <v>49180</v>
      </c>
      <c r="E138" s="18" t="s">
        <v>280</v>
      </c>
      <c r="F138" s="18" t="s">
        <v>280</v>
      </c>
      <c r="G138" s="18" t="s">
        <v>280</v>
      </c>
    </row>
    <row r="139" spans="1:7" ht="16.5" customHeight="1">
      <c r="A139" s="2">
        <f>DATE(92,3,31)</f>
        <v>33694</v>
      </c>
      <c r="B139" s="3">
        <v>72127</v>
      </c>
      <c r="C139" s="3">
        <v>122839</v>
      </c>
      <c r="D139" s="3">
        <v>50712</v>
      </c>
      <c r="E139" s="18" t="s">
        <v>280</v>
      </c>
      <c r="F139" s="18" t="s">
        <v>280</v>
      </c>
      <c r="G139" s="18" t="s">
        <v>280</v>
      </c>
    </row>
    <row r="140" spans="1:7" ht="16.5" customHeight="1">
      <c r="A140" s="2">
        <f>DATE(92,4,30)</f>
        <v>33724</v>
      </c>
      <c r="B140" s="3">
        <v>138351</v>
      </c>
      <c r="C140" s="3">
        <v>123748</v>
      </c>
      <c r="D140" s="3">
        <v>-14603</v>
      </c>
      <c r="E140" s="18" t="s">
        <v>280</v>
      </c>
      <c r="F140" s="18" t="s">
        <v>280</v>
      </c>
      <c r="G140" s="18" t="s">
        <v>280</v>
      </c>
    </row>
    <row r="141" spans="1:7" ht="16.5" customHeight="1">
      <c r="A141" s="2">
        <f>DATE(92,5,31)</f>
        <v>33755</v>
      </c>
      <c r="B141" s="3">
        <v>62184</v>
      </c>
      <c r="C141" s="3">
        <v>108957</v>
      </c>
      <c r="D141" s="3">
        <v>46773</v>
      </c>
      <c r="E141" s="18" t="s">
        <v>280</v>
      </c>
      <c r="F141" s="18" t="s">
        <v>280</v>
      </c>
      <c r="G141" s="18" t="s">
        <v>280</v>
      </c>
    </row>
    <row r="142" spans="1:7" ht="16.5" customHeight="1">
      <c r="A142" s="2">
        <f>DATE(92,6,30)</f>
        <v>33785</v>
      </c>
      <c r="B142" s="3">
        <v>120878</v>
      </c>
      <c r="C142" s="3">
        <v>117096</v>
      </c>
      <c r="D142" s="3">
        <v>-3782</v>
      </c>
      <c r="E142" s="18" t="s">
        <v>280</v>
      </c>
      <c r="F142" s="18" t="s">
        <v>280</v>
      </c>
      <c r="G142" s="18" t="s">
        <v>280</v>
      </c>
    </row>
    <row r="143" spans="1:7" ht="16.5" customHeight="1">
      <c r="A143" s="2">
        <f>DATE(92,7,31)</f>
        <v>33816</v>
      </c>
      <c r="B143" s="3">
        <v>79050</v>
      </c>
      <c r="C143" s="3">
        <v>122197</v>
      </c>
      <c r="D143" s="3">
        <v>43147</v>
      </c>
      <c r="E143" s="18" t="s">
        <v>280</v>
      </c>
      <c r="F143" s="18" t="s">
        <v>280</v>
      </c>
      <c r="G143" s="18" t="s">
        <v>280</v>
      </c>
    </row>
    <row r="144" spans="1:7" ht="16.5" customHeight="1">
      <c r="A144" s="2">
        <f>DATE(92,8,31)</f>
        <v>33847</v>
      </c>
      <c r="B144" s="3">
        <v>78101</v>
      </c>
      <c r="C144" s="3">
        <v>102843</v>
      </c>
      <c r="D144" s="3">
        <v>24742</v>
      </c>
      <c r="E144" s="18" t="s">
        <v>280</v>
      </c>
      <c r="F144" s="18" t="s">
        <v>280</v>
      </c>
      <c r="G144" s="18" t="s">
        <v>280</v>
      </c>
    </row>
    <row r="145" spans="1:7" ht="16.5" customHeight="1">
      <c r="A145" s="2">
        <f>DATE(92,9,30)</f>
        <v>33877</v>
      </c>
      <c r="B145" s="3">
        <v>118189</v>
      </c>
      <c r="C145" s="3">
        <v>112879</v>
      </c>
      <c r="D145" s="3">
        <v>-5310</v>
      </c>
      <c r="E145" s="18" t="s">
        <v>280</v>
      </c>
      <c r="F145" s="18" t="s">
        <v>280</v>
      </c>
      <c r="G145" s="18" t="s">
        <v>280</v>
      </c>
    </row>
    <row r="146" spans="1:7" ht="16.5" customHeight="1">
      <c r="A146" s="2">
        <f>DATE(92,10,31)</f>
        <v>33908</v>
      </c>
      <c r="B146" s="3">
        <v>76829</v>
      </c>
      <c r="C146" s="3">
        <v>125620</v>
      </c>
      <c r="D146" s="3">
        <v>48792</v>
      </c>
      <c r="E146" s="18" t="s">
        <v>280</v>
      </c>
      <c r="F146" s="18" t="s">
        <v>280</v>
      </c>
      <c r="G146" s="18" t="s">
        <v>280</v>
      </c>
    </row>
    <row r="147" spans="1:7" ht="16.5" customHeight="1">
      <c r="A147" s="2">
        <f>DATE(92,11,30)</f>
        <v>33938</v>
      </c>
      <c r="B147" s="3">
        <v>74629</v>
      </c>
      <c r="C147" s="3">
        <v>107355</v>
      </c>
      <c r="D147" s="3">
        <v>32726</v>
      </c>
      <c r="E147" s="18" t="s">
        <v>280</v>
      </c>
      <c r="F147" s="18" t="s">
        <v>280</v>
      </c>
      <c r="G147" s="18" t="s">
        <v>280</v>
      </c>
    </row>
    <row r="148" spans="1:7" ht="16.5" customHeight="1">
      <c r="A148" s="2">
        <f>DATE(92,12,31)</f>
        <v>33969</v>
      </c>
      <c r="B148" s="3">
        <v>113686</v>
      </c>
      <c r="C148" s="3">
        <v>152633</v>
      </c>
      <c r="D148" s="3">
        <v>38947</v>
      </c>
      <c r="E148" s="18" t="s">
        <v>280</v>
      </c>
      <c r="F148" s="18" t="s">
        <v>280</v>
      </c>
      <c r="G148" s="18" t="s">
        <v>280</v>
      </c>
    </row>
    <row r="149" spans="1:7" ht="16.5" customHeight="1">
      <c r="A149" s="2">
        <f>DATE(93,1,31)</f>
        <v>34000</v>
      </c>
      <c r="B149" s="3">
        <v>112716</v>
      </c>
      <c r="C149" s="3">
        <v>82899</v>
      </c>
      <c r="D149" s="3">
        <v>-29817</v>
      </c>
      <c r="E149" s="18" t="s">
        <v>280</v>
      </c>
      <c r="F149" s="18" t="s">
        <v>280</v>
      </c>
      <c r="G149" s="18" t="s">
        <v>280</v>
      </c>
    </row>
    <row r="150" spans="1:7" ht="16.5" customHeight="1">
      <c r="A150" s="2">
        <f>DATE(93,2,28)</f>
        <v>34028</v>
      </c>
      <c r="B150" s="3">
        <v>65979</v>
      </c>
      <c r="C150" s="3">
        <v>114477</v>
      </c>
      <c r="D150" s="3">
        <v>48498</v>
      </c>
      <c r="E150" s="18" t="s">
        <v>280</v>
      </c>
      <c r="F150" s="18" t="s">
        <v>280</v>
      </c>
      <c r="G150" s="18" t="s">
        <v>280</v>
      </c>
    </row>
    <row r="151" spans="1:7" ht="16.5" customHeight="1">
      <c r="A151" s="2">
        <f>DATE(93,3,31)</f>
        <v>34059</v>
      </c>
      <c r="B151" s="3">
        <v>83288</v>
      </c>
      <c r="C151" s="3">
        <v>127263</v>
      </c>
      <c r="D151" s="3">
        <v>43974</v>
      </c>
      <c r="E151" s="18" t="s">
        <v>280</v>
      </c>
      <c r="F151" s="18" t="s">
        <v>280</v>
      </c>
      <c r="G151" s="18" t="s">
        <v>280</v>
      </c>
    </row>
    <row r="152" spans="1:7" ht="16.5" customHeight="1">
      <c r="A152" s="2">
        <f>DATE(93,4,30)</f>
        <v>34089</v>
      </c>
      <c r="B152" s="3">
        <v>132017</v>
      </c>
      <c r="C152" s="3">
        <v>124200</v>
      </c>
      <c r="D152" s="3">
        <v>-7817</v>
      </c>
      <c r="E152" s="18" t="s">
        <v>280</v>
      </c>
      <c r="F152" s="18" t="s">
        <v>280</v>
      </c>
      <c r="G152" s="18" t="s">
        <v>280</v>
      </c>
    </row>
    <row r="153" spans="1:7" ht="16.5" customHeight="1">
      <c r="A153" s="2">
        <f>DATE(93,5,31)</f>
        <v>34120</v>
      </c>
      <c r="B153" s="3">
        <v>70642</v>
      </c>
      <c r="C153" s="3">
        <v>107605</v>
      </c>
      <c r="D153" s="3">
        <v>36963</v>
      </c>
      <c r="E153" s="18" t="s">
        <v>280</v>
      </c>
      <c r="F153" s="18" t="s">
        <v>280</v>
      </c>
      <c r="G153" s="18" t="s">
        <v>280</v>
      </c>
    </row>
    <row r="154" spans="1:7" ht="16.5" customHeight="1">
      <c r="A154" s="2">
        <f>DATE(93,6,30)</f>
        <v>34150</v>
      </c>
      <c r="B154" s="3">
        <v>128570</v>
      </c>
      <c r="C154" s="3">
        <v>117471</v>
      </c>
      <c r="D154" s="3">
        <v>-11099</v>
      </c>
      <c r="E154" s="18" t="s">
        <v>280</v>
      </c>
      <c r="F154" s="18" t="s">
        <v>280</v>
      </c>
      <c r="G154" s="18" t="s">
        <v>280</v>
      </c>
    </row>
    <row r="155" spans="1:7" ht="16.5" customHeight="1">
      <c r="A155" s="2">
        <f>DATE(93,7,31)</f>
        <v>34181</v>
      </c>
      <c r="B155" s="3">
        <v>80630</v>
      </c>
      <c r="C155" s="3">
        <v>120207</v>
      </c>
      <c r="D155" s="3">
        <v>39577</v>
      </c>
      <c r="E155" s="18" t="s">
        <v>280</v>
      </c>
      <c r="F155" s="18" t="s">
        <v>280</v>
      </c>
      <c r="G155" s="18" t="s">
        <v>280</v>
      </c>
    </row>
    <row r="156" spans="1:7" ht="16.5" customHeight="1">
      <c r="A156" s="2">
        <f>DATE(93,8,31)</f>
        <v>34212</v>
      </c>
      <c r="B156" s="3">
        <v>86737</v>
      </c>
      <c r="C156" s="3">
        <v>109815</v>
      </c>
      <c r="D156" s="3">
        <v>23078</v>
      </c>
      <c r="E156" s="18" t="s">
        <v>280</v>
      </c>
      <c r="F156" s="18" t="s">
        <v>280</v>
      </c>
      <c r="G156" s="18" t="s">
        <v>280</v>
      </c>
    </row>
    <row r="157" spans="1:7" ht="16.5" customHeight="1">
      <c r="A157" s="2">
        <f>DATE(93,9,30)</f>
        <v>34242</v>
      </c>
      <c r="B157" s="3">
        <v>127504</v>
      </c>
      <c r="C157" s="3">
        <v>118987</v>
      </c>
      <c r="D157" s="3">
        <v>-8517</v>
      </c>
      <c r="E157" s="18" t="s">
        <v>280</v>
      </c>
      <c r="F157" s="18" t="s">
        <v>280</v>
      </c>
      <c r="G157" s="18" t="s">
        <v>280</v>
      </c>
    </row>
    <row r="158" spans="1:7" ht="16.5" customHeight="1">
      <c r="A158" s="2">
        <f>DATE(93,10,31)</f>
        <v>34273</v>
      </c>
      <c r="B158" s="3">
        <v>78662</v>
      </c>
      <c r="C158" s="3">
        <v>124085</v>
      </c>
      <c r="D158" s="3">
        <v>45422</v>
      </c>
      <c r="E158" s="18" t="s">
        <v>280</v>
      </c>
      <c r="F158" s="18" t="s">
        <v>280</v>
      </c>
      <c r="G158" s="18" t="s">
        <v>280</v>
      </c>
    </row>
    <row r="159" spans="1:7" ht="16.5" customHeight="1">
      <c r="A159" s="2">
        <f>DATE(93,11,30)</f>
        <v>34303</v>
      </c>
      <c r="B159" s="3">
        <v>83102</v>
      </c>
      <c r="C159" s="3">
        <v>121483</v>
      </c>
      <c r="D159" s="3">
        <v>38381</v>
      </c>
      <c r="E159" s="18" t="s">
        <v>280</v>
      </c>
      <c r="F159" s="18" t="s">
        <v>280</v>
      </c>
      <c r="G159" s="18" t="s">
        <v>280</v>
      </c>
    </row>
    <row r="160" spans="1:7" ht="16.5" customHeight="1">
      <c r="A160" s="2">
        <f>DATE(93,12,31)</f>
        <v>34334</v>
      </c>
      <c r="B160" s="3">
        <v>125403</v>
      </c>
      <c r="C160" s="3">
        <v>133108</v>
      </c>
      <c r="D160" s="3">
        <v>7705</v>
      </c>
      <c r="E160" s="18" t="s">
        <v>280</v>
      </c>
      <c r="F160" s="18" t="s">
        <v>280</v>
      </c>
      <c r="G160" s="18" t="s">
        <v>280</v>
      </c>
    </row>
    <row r="161" spans="1:7" ht="16.5" customHeight="1">
      <c r="A161" s="2">
        <f>DATE(94,1,31)</f>
        <v>34365</v>
      </c>
      <c r="B161" s="3">
        <v>122961</v>
      </c>
      <c r="C161" s="3">
        <v>107713</v>
      </c>
      <c r="D161" s="3">
        <v>-15248</v>
      </c>
      <c r="E161" s="18" t="s">
        <v>280</v>
      </c>
      <c r="F161" s="18" t="s">
        <v>280</v>
      </c>
      <c r="G161" s="18" t="s">
        <v>280</v>
      </c>
    </row>
    <row r="162" spans="1:7" ht="16.5" customHeight="1">
      <c r="A162" s="2">
        <f>DATE(94,2,28)</f>
        <v>34393</v>
      </c>
      <c r="B162" s="3">
        <v>73186</v>
      </c>
      <c r="C162" s="3">
        <v>114752</v>
      </c>
      <c r="D162" s="3">
        <v>41566</v>
      </c>
      <c r="E162" s="18" t="s">
        <v>280</v>
      </c>
      <c r="F162" s="18" t="s">
        <v>280</v>
      </c>
      <c r="G162" s="18" t="s">
        <v>280</v>
      </c>
    </row>
    <row r="163" spans="1:7" ht="16.5" customHeight="1">
      <c r="A163" s="2">
        <f>DATE(94,3,31)</f>
        <v>34424</v>
      </c>
      <c r="B163" s="3">
        <v>93107</v>
      </c>
      <c r="C163" s="3">
        <v>125422</v>
      </c>
      <c r="D163" s="3">
        <v>32315</v>
      </c>
      <c r="E163" s="18" t="s">
        <v>280</v>
      </c>
      <c r="F163" s="18" t="s">
        <v>280</v>
      </c>
      <c r="G163" s="18" t="s">
        <v>280</v>
      </c>
    </row>
    <row r="164" spans="1:7" ht="16.5" customHeight="1">
      <c r="A164" s="2">
        <f>DATE(94,4,30)</f>
        <v>34454</v>
      </c>
      <c r="B164" s="3">
        <v>141321</v>
      </c>
      <c r="C164" s="3">
        <v>123867</v>
      </c>
      <c r="D164" s="3">
        <v>-17454</v>
      </c>
      <c r="E164" s="18" t="s">
        <v>280</v>
      </c>
      <c r="F164" s="18" t="s">
        <v>280</v>
      </c>
      <c r="G164" s="18" t="s">
        <v>280</v>
      </c>
    </row>
    <row r="165" spans="1:7" ht="16.5" customHeight="1">
      <c r="A165" s="2">
        <f>DATE(94,5,31)</f>
        <v>34485</v>
      </c>
      <c r="B165" s="3">
        <v>83541</v>
      </c>
      <c r="C165" s="3">
        <v>115597</v>
      </c>
      <c r="D165" s="3">
        <v>32057</v>
      </c>
      <c r="E165" s="18" t="s">
        <v>280</v>
      </c>
      <c r="F165" s="18" t="s">
        <v>280</v>
      </c>
      <c r="G165" s="18" t="s">
        <v>280</v>
      </c>
    </row>
    <row r="166" spans="1:7" ht="16.5" customHeight="1">
      <c r="A166" s="2">
        <f>DATE(94,6,30)</f>
        <v>34515</v>
      </c>
      <c r="B166" s="3">
        <v>138119</v>
      </c>
      <c r="C166" s="3">
        <v>123269</v>
      </c>
      <c r="D166" s="3">
        <v>-14850</v>
      </c>
      <c r="E166" s="18" t="s">
        <v>280</v>
      </c>
      <c r="F166" s="18" t="s">
        <v>280</v>
      </c>
      <c r="G166" s="18" t="s">
        <v>280</v>
      </c>
    </row>
    <row r="167" spans="1:7" ht="16.5" customHeight="1">
      <c r="A167" s="2">
        <f>DATE(94,7,31)</f>
        <v>34546</v>
      </c>
      <c r="B167" s="3">
        <v>84822</v>
      </c>
      <c r="C167" s="3">
        <v>118020</v>
      </c>
      <c r="D167" s="3">
        <v>33198</v>
      </c>
      <c r="E167" s="18" t="s">
        <v>280</v>
      </c>
      <c r="F167" s="18" t="s">
        <v>280</v>
      </c>
      <c r="G167" s="18" t="s">
        <v>280</v>
      </c>
    </row>
    <row r="168" spans="1:7" ht="16.5" customHeight="1">
      <c r="A168" s="2">
        <f>DATE(94,8,31)</f>
        <v>34577</v>
      </c>
      <c r="B168" s="3">
        <v>97333</v>
      </c>
      <c r="C168" s="3">
        <v>121608</v>
      </c>
      <c r="D168" s="3">
        <v>24275</v>
      </c>
      <c r="E168" s="18" t="s">
        <v>280</v>
      </c>
      <c r="F168" s="18" t="s">
        <v>280</v>
      </c>
      <c r="G168" s="18" t="s">
        <v>280</v>
      </c>
    </row>
    <row r="169" spans="1:7" ht="16.5" customHeight="1">
      <c r="A169" s="2">
        <f>DATE(94,9,30)</f>
        <v>34607</v>
      </c>
      <c r="B169" s="3">
        <v>135894</v>
      </c>
      <c r="C169" s="3">
        <v>131628</v>
      </c>
      <c r="D169" s="3">
        <v>-4266</v>
      </c>
      <c r="E169" s="18" t="s">
        <v>280</v>
      </c>
      <c r="F169" s="18" t="s">
        <v>280</v>
      </c>
      <c r="G169" s="18" t="s">
        <v>280</v>
      </c>
    </row>
    <row r="170" spans="1:7" ht="16.5" customHeight="1">
      <c r="A170" s="2">
        <f>DATE(94,10,31)</f>
        <v>34638</v>
      </c>
      <c r="B170" s="3">
        <v>89098</v>
      </c>
      <c r="C170" s="3">
        <v>120441</v>
      </c>
      <c r="D170" s="3">
        <v>31343</v>
      </c>
      <c r="E170" s="18" t="s">
        <v>280</v>
      </c>
      <c r="F170" s="18" t="s">
        <v>280</v>
      </c>
      <c r="G170" s="18" t="s">
        <v>280</v>
      </c>
    </row>
    <row r="171" spans="1:7" ht="16.5" customHeight="1">
      <c r="A171" s="2">
        <f>DATE(94,11,30)</f>
        <v>34668</v>
      </c>
      <c r="B171" s="10" t="s">
        <v>189</v>
      </c>
      <c r="C171" s="10" t="s">
        <v>190</v>
      </c>
      <c r="D171" s="10" t="s">
        <v>191</v>
      </c>
      <c r="E171" s="18" t="s">
        <v>280</v>
      </c>
      <c r="F171" s="18" t="s">
        <v>280</v>
      </c>
      <c r="G171" s="18" t="s">
        <v>280</v>
      </c>
    </row>
    <row r="172" spans="1:7" ht="16.5" customHeight="1">
      <c r="A172" s="2">
        <f>DATE(94,12,31)</f>
        <v>34699</v>
      </c>
      <c r="B172" s="3">
        <v>130886</v>
      </c>
      <c r="C172" s="3">
        <v>135689</v>
      </c>
      <c r="D172" s="3">
        <v>4803</v>
      </c>
      <c r="E172" s="18" t="s">
        <v>280</v>
      </c>
      <c r="F172" s="18" t="s">
        <v>280</v>
      </c>
      <c r="G172" s="18" t="s">
        <v>280</v>
      </c>
    </row>
    <row r="173" spans="1:7" ht="16.5" customHeight="1">
      <c r="A173" s="2">
        <f>DATE(95,1,31)</f>
        <v>34730</v>
      </c>
      <c r="B173" s="3">
        <v>131877</v>
      </c>
      <c r="C173" s="3">
        <v>116243</v>
      </c>
      <c r="D173" s="3">
        <v>-15634</v>
      </c>
      <c r="E173" s="18" t="s">
        <v>280</v>
      </c>
      <c r="F173" s="18" t="s">
        <v>280</v>
      </c>
      <c r="G173" s="18" t="s">
        <v>280</v>
      </c>
    </row>
    <row r="174" spans="1:7" ht="16.5" customHeight="1">
      <c r="A174" s="2">
        <f>DATE(95,2,28)</f>
        <v>34758</v>
      </c>
      <c r="B174" s="3">
        <v>82620</v>
      </c>
      <c r="C174" s="3">
        <v>120977</v>
      </c>
      <c r="D174" s="3">
        <v>38357</v>
      </c>
      <c r="E174" s="18" t="s">
        <v>280</v>
      </c>
      <c r="F174" s="18" t="s">
        <v>280</v>
      </c>
      <c r="G174" s="18" t="s">
        <v>280</v>
      </c>
    </row>
    <row r="175" spans="1:7" ht="16.5" customHeight="1">
      <c r="A175" s="2">
        <f>DATE(95,3,31)</f>
        <v>34789</v>
      </c>
      <c r="B175" s="3">
        <v>92608</v>
      </c>
      <c r="C175" s="3">
        <v>143152</v>
      </c>
      <c r="D175" s="3">
        <v>50544</v>
      </c>
      <c r="E175" s="18" t="s">
        <v>280</v>
      </c>
      <c r="F175" s="18" t="s">
        <v>280</v>
      </c>
      <c r="G175" s="18" t="s">
        <v>280</v>
      </c>
    </row>
    <row r="176" spans="1:7" ht="16.5" customHeight="1">
      <c r="A176" s="2">
        <f>DATE(95,4,30)</f>
        <v>34819</v>
      </c>
      <c r="B176" s="3">
        <v>165472</v>
      </c>
      <c r="C176" s="3">
        <v>115751</v>
      </c>
      <c r="D176" s="3">
        <v>-49722</v>
      </c>
      <c r="E176" s="18" t="s">
        <v>280</v>
      </c>
      <c r="F176" s="18" t="s">
        <v>280</v>
      </c>
      <c r="G176" s="18" t="s">
        <v>280</v>
      </c>
    </row>
    <row r="177" spans="1:7" ht="16.5" customHeight="1">
      <c r="A177" s="2">
        <f>DATE(95,5,31)</f>
        <v>34850</v>
      </c>
      <c r="B177" s="3">
        <v>90481</v>
      </c>
      <c r="C177" s="3">
        <v>130035</v>
      </c>
      <c r="D177" s="3">
        <v>39555</v>
      </c>
      <c r="E177" s="18" t="s">
        <v>280</v>
      </c>
      <c r="F177" s="18" t="s">
        <v>280</v>
      </c>
      <c r="G177" s="18" t="s">
        <v>280</v>
      </c>
    </row>
    <row r="178" spans="1:7" ht="16.5" customHeight="1">
      <c r="A178" s="2">
        <f>DATE(95,6,30)</f>
        <v>34880</v>
      </c>
      <c r="B178" s="3">
        <v>147945</v>
      </c>
      <c r="C178" s="3">
        <v>135131</v>
      </c>
      <c r="D178" s="3">
        <v>-12813</v>
      </c>
      <c r="E178" s="18" t="s">
        <v>280</v>
      </c>
      <c r="F178" s="18" t="s">
        <v>280</v>
      </c>
      <c r="G178" s="18" t="s">
        <v>280</v>
      </c>
    </row>
    <row r="179" spans="1:7" ht="16.5" customHeight="1">
      <c r="A179" s="2">
        <f>DATE(95,7,31)</f>
        <v>34911</v>
      </c>
      <c r="B179" s="3">
        <v>92823</v>
      </c>
      <c r="C179" s="3">
        <v>106406</v>
      </c>
      <c r="D179" s="3">
        <v>13582</v>
      </c>
      <c r="E179" s="18" t="s">
        <v>280</v>
      </c>
      <c r="F179" s="18" t="s">
        <v>280</v>
      </c>
      <c r="G179" s="18" t="s">
        <v>280</v>
      </c>
    </row>
    <row r="180" spans="1:7" ht="16.5" customHeight="1">
      <c r="A180" s="2">
        <f>DATE(95,8,31)</f>
        <v>34942</v>
      </c>
      <c r="B180" s="3">
        <v>96640</v>
      </c>
      <c r="C180" s="3">
        <v>130489</v>
      </c>
      <c r="D180" s="3">
        <v>33849</v>
      </c>
      <c r="E180" s="18" t="s">
        <v>280</v>
      </c>
      <c r="F180" s="18" t="s">
        <v>280</v>
      </c>
      <c r="G180" s="18" t="s">
        <v>280</v>
      </c>
    </row>
    <row r="181" spans="1:7" ht="16.5" customHeight="1">
      <c r="A181" s="2">
        <f>DATE(95,9,30)</f>
        <v>34972</v>
      </c>
      <c r="B181" s="3">
        <v>143298</v>
      </c>
      <c r="C181" s="3">
        <v>136107</v>
      </c>
      <c r="D181" s="3">
        <v>-7191</v>
      </c>
      <c r="E181" s="18" t="s">
        <v>280</v>
      </c>
      <c r="F181" s="18" t="s">
        <v>280</v>
      </c>
      <c r="G181" s="18" t="s">
        <v>280</v>
      </c>
    </row>
    <row r="182" spans="1:7" ht="16.5" customHeight="1">
      <c r="A182" s="2">
        <f>DATE(95,10,31)</f>
        <v>35003</v>
      </c>
      <c r="B182" s="3">
        <v>95593</v>
      </c>
      <c r="C182" s="3">
        <v>118352</v>
      </c>
      <c r="D182" s="3">
        <v>22758</v>
      </c>
      <c r="E182" s="18" t="s">
        <v>280</v>
      </c>
      <c r="F182" s="18" t="s">
        <v>280</v>
      </c>
      <c r="G182" s="18" t="s">
        <v>280</v>
      </c>
    </row>
    <row r="183" spans="1:7" ht="16.5" customHeight="1">
      <c r="A183" s="2">
        <f>DATE(95,11,30)</f>
        <v>35033</v>
      </c>
      <c r="B183" s="3">
        <v>90086</v>
      </c>
      <c r="C183" s="3">
        <v>128538</v>
      </c>
      <c r="D183" s="3">
        <v>38452</v>
      </c>
      <c r="E183" s="18" t="s">
        <v>280</v>
      </c>
      <c r="F183" s="18" t="s">
        <v>280</v>
      </c>
      <c r="G183" s="18" t="s">
        <v>280</v>
      </c>
    </row>
    <row r="184" spans="1:7" ht="16.5" customHeight="1">
      <c r="A184" s="2">
        <f>DATE(95,12,31)</f>
        <v>35064</v>
      </c>
      <c r="B184" s="3">
        <v>138347</v>
      </c>
      <c r="C184" s="3">
        <v>133064</v>
      </c>
      <c r="D184" s="3">
        <v>-5283</v>
      </c>
      <c r="E184" s="18" t="s">
        <v>280</v>
      </c>
      <c r="F184" s="18" t="s">
        <v>280</v>
      </c>
      <c r="G184" s="18" t="s">
        <v>280</v>
      </c>
    </row>
    <row r="185" spans="1:7" ht="16.5" customHeight="1">
      <c r="A185" s="2">
        <f>DATE(96,1,31)</f>
        <v>35095</v>
      </c>
      <c r="B185" s="3">
        <v>142999</v>
      </c>
      <c r="C185" s="3">
        <v>123543</v>
      </c>
      <c r="D185" s="3">
        <v>-19456</v>
      </c>
      <c r="E185" s="18" t="s">
        <v>280</v>
      </c>
      <c r="F185" s="18" t="s">
        <v>280</v>
      </c>
      <c r="G185" s="18" t="s">
        <v>280</v>
      </c>
    </row>
    <row r="186" spans="1:7" ht="16.5" customHeight="1">
      <c r="A186" s="2">
        <f>DATE(96,2,28)</f>
        <v>35123</v>
      </c>
      <c r="B186" s="3">
        <v>89428</v>
      </c>
      <c r="C186" s="3">
        <v>133775</v>
      </c>
      <c r="D186" s="3">
        <v>44346</v>
      </c>
      <c r="E186" s="18" t="s">
        <v>280</v>
      </c>
      <c r="F186" s="18" t="s">
        <v>280</v>
      </c>
      <c r="G186" s="18" t="s">
        <v>280</v>
      </c>
    </row>
    <row r="187" spans="1:7" ht="16.5" customHeight="1">
      <c r="A187" s="2">
        <f>DATE(96,3,31)</f>
        <v>35155</v>
      </c>
      <c r="B187" s="3">
        <v>89087</v>
      </c>
      <c r="C187" s="3">
        <v>136158</v>
      </c>
      <c r="D187" s="3">
        <v>47071</v>
      </c>
      <c r="E187" s="18" t="s">
        <v>280</v>
      </c>
      <c r="F187" s="18" t="s">
        <v>280</v>
      </c>
      <c r="G187" s="18" t="s">
        <v>280</v>
      </c>
    </row>
    <row r="188" spans="1:7" ht="16.5" customHeight="1">
      <c r="A188" s="2">
        <f>DATE(96,4,30)</f>
        <v>35185</v>
      </c>
      <c r="B188" s="3">
        <v>203468</v>
      </c>
      <c r="C188" s="3">
        <v>131064</v>
      </c>
      <c r="D188" s="3">
        <v>-72404</v>
      </c>
      <c r="E188" s="18" t="s">
        <v>280</v>
      </c>
      <c r="F188" s="18" t="s">
        <v>280</v>
      </c>
      <c r="G188" s="18" t="s">
        <v>280</v>
      </c>
    </row>
    <row r="189" spans="1:7" ht="16.5" customHeight="1">
      <c r="A189" s="2">
        <f>DATE(96,5,31)</f>
        <v>35216</v>
      </c>
      <c r="B189" s="3">
        <v>90122</v>
      </c>
      <c r="C189" s="3">
        <v>143173</v>
      </c>
      <c r="D189" s="3">
        <v>53051</v>
      </c>
      <c r="E189" s="18" t="s">
        <v>280</v>
      </c>
      <c r="F189" s="18" t="s">
        <v>280</v>
      </c>
      <c r="G189" s="18" t="s">
        <v>280</v>
      </c>
    </row>
    <row r="190" spans="1:7" ht="16.5" customHeight="1">
      <c r="A190" s="2">
        <f>DATE(96,6,30)</f>
        <v>35246</v>
      </c>
      <c r="B190" s="3">
        <v>151995</v>
      </c>
      <c r="C190" s="3">
        <v>117655</v>
      </c>
      <c r="D190" s="3">
        <v>-34340</v>
      </c>
      <c r="E190" s="18" t="s">
        <v>280</v>
      </c>
      <c r="F190" s="18" t="s">
        <v>280</v>
      </c>
      <c r="G190" s="18" t="s">
        <v>280</v>
      </c>
    </row>
    <row r="191" spans="1:7" ht="16.5" customHeight="1">
      <c r="A191" s="2">
        <f>DATE(96,7,31)</f>
        <v>35277</v>
      </c>
      <c r="B191" s="3">
        <v>103893</v>
      </c>
      <c r="C191" s="3">
        <v>130749</v>
      </c>
      <c r="D191" s="3">
        <v>26856</v>
      </c>
      <c r="E191" s="18" t="s">
        <v>280</v>
      </c>
      <c r="F191" s="18" t="s">
        <v>280</v>
      </c>
      <c r="G191" s="18" t="s">
        <v>280</v>
      </c>
    </row>
    <row r="192" spans="1:7" ht="16.5" customHeight="1">
      <c r="A192" s="2">
        <f>DATE(96,8,31)</f>
        <v>35308</v>
      </c>
      <c r="B192" s="3">
        <v>99996</v>
      </c>
      <c r="C192" s="3">
        <v>141828</v>
      </c>
      <c r="D192" s="3">
        <v>41831</v>
      </c>
      <c r="E192" s="18" t="s">
        <v>280</v>
      </c>
      <c r="F192" s="18" t="s">
        <v>280</v>
      </c>
      <c r="G192" s="18" t="s">
        <v>280</v>
      </c>
    </row>
    <row r="193" spans="1:7" ht="16.5" customHeight="1">
      <c r="A193" s="9">
        <f>DATE(96,9,30)</f>
        <v>35338</v>
      </c>
      <c r="B193" s="13">
        <v>157670</v>
      </c>
      <c r="C193" s="13">
        <v>122412</v>
      </c>
      <c r="D193" s="13">
        <v>-35257</v>
      </c>
      <c r="E193" s="18" t="s">
        <v>280</v>
      </c>
      <c r="F193" s="18" t="s">
        <v>280</v>
      </c>
      <c r="G193" s="18" t="s">
        <v>280</v>
      </c>
    </row>
    <row r="194" spans="1:7" ht="16.5" customHeight="1">
      <c r="A194" s="2">
        <f>DATE(96,10,31)</f>
        <v>35369</v>
      </c>
      <c r="B194" s="3">
        <v>99656</v>
      </c>
      <c r="C194" s="3">
        <v>139461</v>
      </c>
      <c r="D194" s="3">
        <v>39805</v>
      </c>
      <c r="E194" s="18" t="s">
        <v>280</v>
      </c>
      <c r="F194" s="18" t="s">
        <v>280</v>
      </c>
      <c r="G194" s="18" t="s">
        <v>280</v>
      </c>
    </row>
    <row r="195" spans="1:7" ht="16.5" customHeight="1">
      <c r="A195" s="2">
        <f>DATE(96,11,30)</f>
        <v>35399</v>
      </c>
      <c r="B195" s="3">
        <v>97850</v>
      </c>
      <c r="C195" s="3">
        <v>135728</v>
      </c>
      <c r="D195" s="3">
        <v>37878</v>
      </c>
      <c r="E195" s="18" t="s">
        <v>280</v>
      </c>
      <c r="F195" s="18" t="s">
        <v>280</v>
      </c>
      <c r="G195" s="18" t="s">
        <v>280</v>
      </c>
    </row>
    <row r="196" spans="1:7" ht="16.5" customHeight="1">
      <c r="A196" s="2">
        <f>DATE(96,12,31)</f>
        <v>35430</v>
      </c>
      <c r="B196" s="3">
        <v>148488</v>
      </c>
      <c r="C196" s="3">
        <v>129999</v>
      </c>
      <c r="D196" s="3">
        <v>-18490</v>
      </c>
      <c r="E196" s="18" t="s">
        <v>280</v>
      </c>
      <c r="F196" s="18" t="s">
        <v>280</v>
      </c>
      <c r="G196" s="18" t="s">
        <v>280</v>
      </c>
    </row>
    <row r="197" spans="1:7" ht="16.5" customHeight="1">
      <c r="A197" s="2">
        <f>DATE(97,1,31)</f>
        <v>35461</v>
      </c>
      <c r="B197" s="3">
        <v>150718</v>
      </c>
      <c r="C197" s="3">
        <v>137354</v>
      </c>
      <c r="D197" s="3">
        <v>-13364</v>
      </c>
      <c r="E197" s="18" t="s">
        <v>280</v>
      </c>
      <c r="F197" s="18" t="s">
        <v>280</v>
      </c>
      <c r="G197" s="18" t="s">
        <v>280</v>
      </c>
    </row>
    <row r="198" spans="1:7" ht="16.5" customHeight="1">
      <c r="A198" s="2">
        <f>DATE(97,2,28)</f>
        <v>35489</v>
      </c>
      <c r="B198" s="3">
        <v>90293</v>
      </c>
      <c r="C198" s="3">
        <v>134303</v>
      </c>
      <c r="D198" s="3">
        <v>44010</v>
      </c>
      <c r="E198" s="18" t="s">
        <v>280</v>
      </c>
      <c r="F198" s="18" t="s">
        <v>280</v>
      </c>
      <c r="G198" s="18" t="s">
        <v>280</v>
      </c>
    </row>
    <row r="199" spans="1:7" ht="16.5" customHeight="1">
      <c r="A199" s="2">
        <f>DATE(97,3,31)</f>
        <v>35520</v>
      </c>
      <c r="B199" s="3">
        <v>108074</v>
      </c>
      <c r="C199" s="3">
        <v>129397</v>
      </c>
      <c r="D199" s="3">
        <v>21323</v>
      </c>
      <c r="E199" s="18" t="s">
        <v>280</v>
      </c>
      <c r="F199" s="18" t="s">
        <v>280</v>
      </c>
      <c r="G199" s="18" t="s">
        <v>280</v>
      </c>
    </row>
    <row r="200" spans="1:7" ht="16.5" customHeight="1">
      <c r="A200" s="2">
        <f>DATE(97,4,30)</f>
        <v>35550</v>
      </c>
      <c r="B200" s="3">
        <v>228588</v>
      </c>
      <c r="C200" s="3">
        <v>134649</v>
      </c>
      <c r="D200" s="3">
        <v>-93939</v>
      </c>
      <c r="E200" s="18" t="s">
        <v>280</v>
      </c>
      <c r="F200" s="18" t="s">
        <v>280</v>
      </c>
      <c r="G200" s="18" t="s">
        <v>280</v>
      </c>
    </row>
    <row r="201" spans="1:7" ht="16.5" customHeight="1">
      <c r="A201" s="2">
        <f>DATE(97,5,31)</f>
        <v>35581</v>
      </c>
      <c r="B201" s="3">
        <v>94493</v>
      </c>
      <c r="C201" s="3">
        <v>142988</v>
      </c>
      <c r="D201" s="3">
        <v>48494</v>
      </c>
      <c r="E201" s="18" t="s">
        <v>280</v>
      </c>
      <c r="F201" s="18" t="s">
        <v>280</v>
      </c>
      <c r="G201" s="18" t="s">
        <v>280</v>
      </c>
    </row>
    <row r="202" spans="1:7" ht="16.5" customHeight="1">
      <c r="A202" s="2">
        <f>DATE(97,6,30)</f>
        <v>35611</v>
      </c>
      <c r="B202" s="3">
        <v>173361</v>
      </c>
      <c r="C202" s="3">
        <v>118726</v>
      </c>
      <c r="D202" s="3">
        <v>-54635</v>
      </c>
      <c r="E202" s="18" t="s">
        <v>280</v>
      </c>
      <c r="F202" s="18" t="s">
        <v>280</v>
      </c>
      <c r="G202" s="18" t="s">
        <v>280</v>
      </c>
    </row>
    <row r="203" spans="1:7" ht="16.5" customHeight="1">
      <c r="A203" s="2">
        <f>DATE(97,7,31)</f>
        <v>35642</v>
      </c>
      <c r="B203" s="3">
        <v>109178</v>
      </c>
      <c r="C203" s="3">
        <v>134802</v>
      </c>
      <c r="D203" s="3">
        <v>25624</v>
      </c>
      <c r="E203" s="18" t="s">
        <v>280</v>
      </c>
      <c r="F203" s="18" t="s">
        <v>280</v>
      </c>
      <c r="G203" s="18" t="s">
        <v>280</v>
      </c>
    </row>
    <row r="204" spans="1:7" ht="16.5" customHeight="1">
      <c r="A204" s="2">
        <f>DATE(97,8,31)</f>
        <v>35673</v>
      </c>
      <c r="B204" s="3">
        <v>103483</v>
      </c>
      <c r="C204" s="3">
        <v>138672</v>
      </c>
      <c r="D204" s="3">
        <v>35189</v>
      </c>
      <c r="E204" s="18" t="s">
        <v>280</v>
      </c>
      <c r="F204" s="18" t="s">
        <v>280</v>
      </c>
      <c r="G204" s="18" t="s">
        <v>280</v>
      </c>
    </row>
    <row r="205" spans="1:7" ht="16.5" customHeight="1">
      <c r="A205" s="2">
        <f>DATE(97,9,30)</f>
        <v>35703</v>
      </c>
      <c r="B205" s="3">
        <v>174772</v>
      </c>
      <c r="C205" s="10" t="s">
        <v>5</v>
      </c>
      <c r="D205" s="10" t="s">
        <v>151</v>
      </c>
      <c r="E205" s="18" t="s">
        <v>280</v>
      </c>
      <c r="F205" s="18" t="s">
        <v>280</v>
      </c>
      <c r="G205" s="18" t="s">
        <v>280</v>
      </c>
    </row>
    <row r="206" spans="1:7" ht="16.5" customHeight="1">
      <c r="A206" s="2">
        <f>DATE(97,10,31)</f>
        <v>35734</v>
      </c>
      <c r="B206" s="3">
        <v>114898</v>
      </c>
      <c r="C206" s="11" t="s">
        <v>4</v>
      </c>
      <c r="D206" s="10" t="s">
        <v>152</v>
      </c>
      <c r="E206" s="18" t="s">
        <v>280</v>
      </c>
      <c r="F206" s="18" t="s">
        <v>280</v>
      </c>
      <c r="G206" s="18" t="s">
        <v>280</v>
      </c>
    </row>
    <row r="207" spans="1:7" ht="16.5" customHeight="1">
      <c r="A207" s="2">
        <f>DATE(97,11,30)</f>
        <v>35764</v>
      </c>
      <c r="B207" s="3">
        <v>103481</v>
      </c>
      <c r="C207" s="3">
        <v>120830</v>
      </c>
      <c r="D207" s="3">
        <v>17349</v>
      </c>
      <c r="E207" s="18" t="s">
        <v>280</v>
      </c>
      <c r="F207" s="18" t="s">
        <v>280</v>
      </c>
      <c r="G207" s="18" t="s">
        <v>280</v>
      </c>
    </row>
    <row r="208" spans="1:7" ht="16.5" customHeight="1">
      <c r="A208" s="2">
        <f>DATE(97,12,31)</f>
        <v>35795</v>
      </c>
      <c r="B208" s="3">
        <v>167998</v>
      </c>
      <c r="C208" s="3">
        <v>154359</v>
      </c>
      <c r="D208" s="3">
        <v>-13639</v>
      </c>
      <c r="E208" s="18" t="s">
        <v>280</v>
      </c>
      <c r="F208" s="18" t="s">
        <v>280</v>
      </c>
      <c r="G208" s="18" t="s">
        <v>280</v>
      </c>
    </row>
    <row r="209" spans="1:7" ht="16.5" customHeight="1">
      <c r="A209" s="2">
        <f>DATE(98,1,31)</f>
        <v>35826</v>
      </c>
      <c r="B209" s="3">
        <v>162610</v>
      </c>
      <c r="C209" s="3">
        <v>137231</v>
      </c>
      <c r="D209" s="3">
        <v>-25379</v>
      </c>
      <c r="E209" s="18" t="s">
        <v>280</v>
      </c>
      <c r="F209" s="18" t="s">
        <v>280</v>
      </c>
      <c r="G209" s="18" t="s">
        <v>280</v>
      </c>
    </row>
    <row r="210" spans="1:7" ht="16.5" customHeight="1">
      <c r="A210" s="2">
        <f>DATE(98,2,28)</f>
        <v>35854</v>
      </c>
      <c r="B210" s="3">
        <v>97952</v>
      </c>
      <c r="C210" s="3">
        <v>139701</v>
      </c>
      <c r="D210" s="3">
        <v>41750</v>
      </c>
      <c r="E210" s="18" t="s">
        <v>280</v>
      </c>
      <c r="F210" s="18" t="s">
        <v>280</v>
      </c>
      <c r="G210" s="18" t="s">
        <v>280</v>
      </c>
    </row>
    <row r="211" spans="1:7" ht="16.5" customHeight="1">
      <c r="A211" s="2">
        <f>DATE(98,3,31)</f>
        <v>35885</v>
      </c>
      <c r="B211" s="3">
        <v>117930</v>
      </c>
      <c r="C211" s="3">
        <v>131743</v>
      </c>
      <c r="D211" s="3">
        <v>13813</v>
      </c>
      <c r="E211" s="18" t="s">
        <v>280</v>
      </c>
      <c r="F211" s="18" t="s">
        <v>280</v>
      </c>
      <c r="G211" s="18" t="s">
        <v>280</v>
      </c>
    </row>
    <row r="212" spans="1:7" ht="16.5" customHeight="1">
      <c r="A212" s="2">
        <f>DATE(98,4,30)</f>
        <v>35915</v>
      </c>
      <c r="B212" s="3">
        <v>261002</v>
      </c>
      <c r="C212" s="3">
        <v>136400</v>
      </c>
      <c r="D212" s="3">
        <v>-124603</v>
      </c>
      <c r="E212" s="18" t="s">
        <v>280</v>
      </c>
      <c r="F212" s="18" t="s">
        <v>280</v>
      </c>
      <c r="G212" s="18" t="s">
        <v>280</v>
      </c>
    </row>
    <row r="213" spans="1:7" ht="16.5" customHeight="1">
      <c r="A213" s="2">
        <f>DATE(98,5,31)</f>
        <v>35946</v>
      </c>
      <c r="B213" s="3">
        <v>95278</v>
      </c>
      <c r="C213" s="3">
        <v>134057</v>
      </c>
      <c r="D213" s="10" t="s">
        <v>153</v>
      </c>
      <c r="E213" s="18" t="s">
        <v>280</v>
      </c>
      <c r="F213" s="18" t="s">
        <v>280</v>
      </c>
      <c r="G213" s="18" t="s">
        <v>280</v>
      </c>
    </row>
    <row r="214" spans="1:7" ht="16.5" customHeight="1">
      <c r="A214" s="2">
        <f>DATE(98,6,30)</f>
        <v>35976</v>
      </c>
      <c r="B214" s="10" t="s">
        <v>164</v>
      </c>
      <c r="C214" s="10" t="s">
        <v>165</v>
      </c>
      <c r="D214" s="3">
        <v>-51106</v>
      </c>
      <c r="E214" s="18" t="s">
        <v>280</v>
      </c>
      <c r="F214" s="18" t="s">
        <v>280</v>
      </c>
      <c r="G214" s="18" t="s">
        <v>280</v>
      </c>
    </row>
    <row r="215" spans="1:7" ht="16.5" customHeight="1">
      <c r="A215" s="2">
        <f>DATE(98,7,31)</f>
        <v>36007</v>
      </c>
      <c r="B215" s="3">
        <v>119723</v>
      </c>
      <c r="C215" s="3">
        <v>143807</v>
      </c>
      <c r="D215" s="3">
        <v>24084</v>
      </c>
      <c r="E215" s="18" t="s">
        <v>280</v>
      </c>
      <c r="F215" s="18" t="s">
        <v>280</v>
      </c>
      <c r="G215" s="18" t="s">
        <v>280</v>
      </c>
    </row>
    <row r="216" spans="1:7" ht="16.5" customHeight="1">
      <c r="A216" s="2">
        <f>DATE(98,8,31)</f>
        <v>36038</v>
      </c>
      <c r="B216" s="3">
        <v>111741</v>
      </c>
      <c r="C216" s="3">
        <v>122907</v>
      </c>
      <c r="D216" s="3">
        <v>11166</v>
      </c>
      <c r="E216" s="18" t="s">
        <v>280</v>
      </c>
      <c r="F216" s="18" t="s">
        <v>280</v>
      </c>
      <c r="G216" s="18" t="s">
        <v>280</v>
      </c>
    </row>
    <row r="217" spans="1:7" ht="16.5" customHeight="1">
      <c r="A217" s="9">
        <f>DATE(98,9,30)</f>
        <v>36068</v>
      </c>
      <c r="B217" s="12" t="s">
        <v>7</v>
      </c>
      <c r="C217" s="12" t="s">
        <v>6</v>
      </c>
      <c r="D217" s="12" t="s">
        <v>154</v>
      </c>
      <c r="E217" s="18" t="s">
        <v>280</v>
      </c>
      <c r="F217" s="18" t="s">
        <v>280</v>
      </c>
      <c r="G217" s="18" t="s">
        <v>280</v>
      </c>
    </row>
    <row r="218" spans="1:7" ht="16.5" customHeight="1">
      <c r="A218" s="4">
        <v>36069</v>
      </c>
      <c r="B218" s="5">
        <v>119974</v>
      </c>
      <c r="C218" s="8" t="s">
        <v>8</v>
      </c>
      <c r="D218" s="10" t="s">
        <v>155</v>
      </c>
      <c r="E218" s="18" t="s">
        <v>280</v>
      </c>
      <c r="F218" s="18" t="s">
        <v>280</v>
      </c>
      <c r="G218" s="18" t="s">
        <v>280</v>
      </c>
    </row>
    <row r="219" spans="1:7" ht="16.5" customHeight="1">
      <c r="A219" s="4">
        <v>36100</v>
      </c>
      <c r="B219" s="5">
        <v>113978</v>
      </c>
      <c r="C219" s="8" t="s">
        <v>9</v>
      </c>
      <c r="D219" s="8" t="s">
        <v>156</v>
      </c>
      <c r="E219" s="18" t="s">
        <v>280</v>
      </c>
      <c r="F219" s="18" t="s">
        <v>280</v>
      </c>
      <c r="G219" s="18" t="s">
        <v>280</v>
      </c>
    </row>
    <row r="220" spans="1:7" ht="16.5" customHeight="1">
      <c r="A220" s="4">
        <v>36130</v>
      </c>
      <c r="B220" s="5">
        <v>178646</v>
      </c>
      <c r="C220" s="8" t="s">
        <v>166</v>
      </c>
      <c r="D220" s="8" t="s">
        <v>160</v>
      </c>
      <c r="E220" s="18" t="s">
        <v>280</v>
      </c>
      <c r="F220" s="18" t="s">
        <v>280</v>
      </c>
      <c r="G220" s="18" t="s">
        <v>280</v>
      </c>
    </row>
    <row r="221" spans="1:7" ht="16.5" customHeight="1">
      <c r="A221" s="4">
        <v>36161</v>
      </c>
      <c r="B221" s="8" t="s">
        <v>10</v>
      </c>
      <c r="C221" s="8" t="s">
        <v>11</v>
      </c>
      <c r="D221" s="8" t="s">
        <v>159</v>
      </c>
      <c r="E221" s="18" t="s">
        <v>280</v>
      </c>
      <c r="F221" s="18" t="s">
        <v>280</v>
      </c>
      <c r="G221" s="18" t="s">
        <v>280</v>
      </c>
    </row>
    <row r="222" spans="1:7" ht="16.5" customHeight="1">
      <c r="A222" s="4">
        <v>36192</v>
      </c>
      <c r="B222" s="8" t="s">
        <v>12</v>
      </c>
      <c r="C222" s="8" t="s">
        <v>13</v>
      </c>
      <c r="D222" s="8" t="s">
        <v>158</v>
      </c>
      <c r="E222" s="18" t="s">
        <v>280</v>
      </c>
      <c r="F222" s="18" t="s">
        <v>280</v>
      </c>
      <c r="G222" s="18" t="s">
        <v>280</v>
      </c>
    </row>
    <row r="223" spans="1:7" ht="16.5" customHeight="1">
      <c r="A223" s="4">
        <v>36220</v>
      </c>
      <c r="B223" s="8" t="s">
        <v>14</v>
      </c>
      <c r="C223" s="8" t="s">
        <v>167</v>
      </c>
      <c r="D223" s="8" t="s">
        <v>157</v>
      </c>
      <c r="E223" s="18" t="s">
        <v>280</v>
      </c>
      <c r="F223" s="18" t="s">
        <v>280</v>
      </c>
      <c r="G223" s="18" t="s">
        <v>280</v>
      </c>
    </row>
    <row r="224" spans="1:7" ht="16.5" customHeight="1">
      <c r="A224" s="4">
        <v>36251</v>
      </c>
      <c r="B224" s="8" t="s">
        <v>16</v>
      </c>
      <c r="C224" s="8" t="s">
        <v>15</v>
      </c>
      <c r="D224" s="5">
        <v>-113459</v>
      </c>
      <c r="E224" s="18" t="s">
        <v>280</v>
      </c>
      <c r="F224" s="18" t="s">
        <v>280</v>
      </c>
      <c r="G224" s="18" t="s">
        <v>280</v>
      </c>
    </row>
    <row r="225" spans="1:7" ht="16.5" customHeight="1">
      <c r="A225" s="4">
        <v>36281</v>
      </c>
      <c r="B225" s="8" t="s">
        <v>18</v>
      </c>
      <c r="C225" s="8" t="s">
        <v>17</v>
      </c>
      <c r="D225" s="5">
        <v>23969</v>
      </c>
      <c r="E225" s="18" t="s">
        <v>280</v>
      </c>
      <c r="F225" s="18" t="s">
        <v>280</v>
      </c>
      <c r="G225" s="18" t="s">
        <v>280</v>
      </c>
    </row>
    <row r="226" spans="1:7" ht="16.5" customHeight="1">
      <c r="A226" s="4">
        <v>36312</v>
      </c>
      <c r="B226" s="8" t="s">
        <v>19</v>
      </c>
      <c r="C226" s="8" t="s">
        <v>20</v>
      </c>
      <c r="D226" s="5">
        <v>-53568</v>
      </c>
      <c r="E226" s="18" t="s">
        <v>280</v>
      </c>
      <c r="F226" s="18" t="s">
        <v>280</v>
      </c>
      <c r="G226" s="18" t="s">
        <v>280</v>
      </c>
    </row>
    <row r="227" spans="1:7" ht="16.5" customHeight="1">
      <c r="A227" s="4">
        <v>36342</v>
      </c>
      <c r="B227" s="8" t="s">
        <v>21</v>
      </c>
      <c r="C227" s="8" t="s">
        <v>168</v>
      </c>
      <c r="D227" s="5">
        <v>25164</v>
      </c>
      <c r="E227" s="18" t="s">
        <v>280</v>
      </c>
      <c r="F227" s="18" t="s">
        <v>280</v>
      </c>
      <c r="G227" s="18" t="s">
        <v>280</v>
      </c>
    </row>
    <row r="228" spans="1:7" ht="16.5" customHeight="1">
      <c r="A228" s="4">
        <v>36373</v>
      </c>
      <c r="B228" s="8" t="s">
        <v>22</v>
      </c>
      <c r="C228" s="8" t="s">
        <v>23</v>
      </c>
      <c r="D228" s="8" t="s">
        <v>161</v>
      </c>
      <c r="E228" s="18" t="s">
        <v>280</v>
      </c>
      <c r="F228" s="18" t="s">
        <v>280</v>
      </c>
      <c r="G228" s="18" t="s">
        <v>280</v>
      </c>
    </row>
    <row r="229" spans="1:7" ht="16.5" customHeight="1">
      <c r="A229" s="4">
        <v>36404</v>
      </c>
      <c r="B229" s="8" t="s">
        <v>24</v>
      </c>
      <c r="C229" s="8" t="s">
        <v>25</v>
      </c>
      <c r="D229" s="8" t="s">
        <v>162</v>
      </c>
      <c r="E229" s="18" t="s">
        <v>280</v>
      </c>
      <c r="F229" s="18" t="s">
        <v>280</v>
      </c>
      <c r="G229" s="18" t="s">
        <v>280</v>
      </c>
    </row>
    <row r="230" spans="1:7" ht="16.5" customHeight="1">
      <c r="A230" s="4">
        <v>36434</v>
      </c>
      <c r="B230" s="5">
        <v>121035</v>
      </c>
      <c r="C230" s="8" t="s">
        <v>26</v>
      </c>
      <c r="D230" s="8" t="s">
        <v>163</v>
      </c>
      <c r="E230" s="18" t="s">
        <v>280</v>
      </c>
      <c r="F230" s="18" t="s">
        <v>280</v>
      </c>
      <c r="G230" s="18" t="s">
        <v>280</v>
      </c>
    </row>
    <row r="231" spans="1:7" ht="16.5" customHeight="1">
      <c r="A231" s="4">
        <v>36465</v>
      </c>
      <c r="B231" s="5">
        <v>121375</v>
      </c>
      <c r="C231" s="8" t="s">
        <v>27</v>
      </c>
      <c r="D231" s="5">
        <v>27031</v>
      </c>
      <c r="E231" s="18" t="s">
        <v>280</v>
      </c>
      <c r="F231" s="18" t="s">
        <v>280</v>
      </c>
      <c r="G231" s="18" t="s">
        <v>280</v>
      </c>
    </row>
    <row r="232" spans="1:7" ht="16.5" customHeight="1">
      <c r="A232" s="4">
        <v>36495</v>
      </c>
      <c r="B232" s="5">
        <v>201196</v>
      </c>
      <c r="C232" s="5">
        <v>168114</v>
      </c>
      <c r="D232" s="5">
        <v>-33081</v>
      </c>
      <c r="E232" s="18" t="s">
        <v>280</v>
      </c>
      <c r="F232" s="18" t="s">
        <v>280</v>
      </c>
      <c r="G232" s="18" t="s">
        <v>280</v>
      </c>
    </row>
    <row r="233" spans="1:7" ht="16.5" customHeight="1">
      <c r="A233" s="4">
        <v>36526</v>
      </c>
      <c r="B233" s="5">
        <v>189478</v>
      </c>
      <c r="C233" s="5">
        <v>127326</v>
      </c>
      <c r="D233" s="5">
        <v>-62152</v>
      </c>
      <c r="E233" s="18" t="s">
        <v>280</v>
      </c>
      <c r="F233" s="18" t="s">
        <v>280</v>
      </c>
      <c r="G233" s="18" t="s">
        <v>280</v>
      </c>
    </row>
    <row r="234" spans="1:7" ht="16.5" customHeight="1">
      <c r="A234" s="4">
        <v>36557</v>
      </c>
      <c r="B234" s="5">
        <v>108675</v>
      </c>
      <c r="C234" s="5">
        <v>150409</v>
      </c>
      <c r="D234" s="5">
        <v>41734</v>
      </c>
      <c r="E234" s="18" t="s">
        <v>280</v>
      </c>
      <c r="F234" s="18" t="s">
        <v>280</v>
      </c>
      <c r="G234" s="18" t="s">
        <v>280</v>
      </c>
    </row>
    <row r="235" spans="1:7" ht="16.5" customHeight="1">
      <c r="A235" s="4">
        <v>36586</v>
      </c>
      <c r="B235" s="5">
        <v>135582</v>
      </c>
      <c r="C235" s="5">
        <v>170962</v>
      </c>
      <c r="D235" s="5">
        <v>35380</v>
      </c>
      <c r="E235" s="18" t="s">
        <v>280</v>
      </c>
      <c r="F235" s="18" t="s">
        <v>280</v>
      </c>
      <c r="G235" s="18" t="s">
        <v>280</v>
      </c>
    </row>
    <row r="236" spans="1:7" ht="16.5" customHeight="1">
      <c r="A236" s="4">
        <v>36617</v>
      </c>
      <c r="B236" s="8" t="s">
        <v>28</v>
      </c>
      <c r="C236" s="8" t="s">
        <v>29</v>
      </c>
      <c r="D236" s="5">
        <v>-159497</v>
      </c>
      <c r="E236" s="18" t="s">
        <v>280</v>
      </c>
      <c r="F236" s="18" t="s">
        <v>280</v>
      </c>
      <c r="G236" s="18" t="s">
        <v>280</v>
      </c>
    </row>
    <row r="237" spans="1:7" ht="16.5" customHeight="1">
      <c r="A237" s="4">
        <v>36647</v>
      </c>
      <c r="B237" s="5">
        <v>146002</v>
      </c>
      <c r="C237" s="5">
        <v>149612</v>
      </c>
      <c r="D237" s="5">
        <v>3611</v>
      </c>
      <c r="E237" s="18" t="s">
        <v>280</v>
      </c>
      <c r="F237" s="18" t="s">
        <v>280</v>
      </c>
      <c r="G237" s="18" t="s">
        <v>280</v>
      </c>
    </row>
    <row r="238" spans="1:7" ht="16.5" customHeight="1">
      <c r="A238" s="4">
        <v>36678</v>
      </c>
      <c r="B238" s="5">
        <v>214875</v>
      </c>
      <c r="C238" s="8" t="s">
        <v>30</v>
      </c>
      <c r="D238" s="5">
        <v>-55888</v>
      </c>
      <c r="E238" s="18" t="s">
        <v>280</v>
      </c>
      <c r="F238" s="18" t="s">
        <v>280</v>
      </c>
      <c r="G238" s="18" t="s">
        <v>280</v>
      </c>
    </row>
    <row r="239" spans="1:7" ht="16.5" customHeight="1">
      <c r="A239" s="4">
        <v>36708</v>
      </c>
      <c r="B239" s="5">
        <v>134074</v>
      </c>
      <c r="C239" s="8" t="s">
        <v>31</v>
      </c>
      <c r="D239" s="5">
        <v>-5061</v>
      </c>
      <c r="E239" s="18" t="s">
        <v>280</v>
      </c>
      <c r="F239" s="18" t="s">
        <v>280</v>
      </c>
      <c r="G239" s="18" t="s">
        <v>280</v>
      </c>
    </row>
    <row r="240" spans="1:7" ht="16.5" customHeight="1">
      <c r="A240" s="4">
        <v>36739</v>
      </c>
      <c r="B240" s="5">
        <v>138128</v>
      </c>
      <c r="C240" s="5">
        <v>148555</v>
      </c>
      <c r="D240" s="5">
        <v>10427</v>
      </c>
      <c r="E240" s="18" t="s">
        <v>280</v>
      </c>
      <c r="F240" s="18" t="s">
        <v>280</v>
      </c>
      <c r="G240" s="18" t="s">
        <v>280</v>
      </c>
    </row>
    <row r="241" spans="1:7" ht="16.5" customHeight="1">
      <c r="A241" s="4">
        <v>36770</v>
      </c>
      <c r="B241" s="8" t="s">
        <v>33</v>
      </c>
      <c r="C241" s="8" t="s">
        <v>32</v>
      </c>
      <c r="D241" s="5">
        <v>-65747</v>
      </c>
      <c r="E241" s="18" t="s">
        <v>280</v>
      </c>
      <c r="F241" s="18" t="s">
        <v>280</v>
      </c>
      <c r="G241" s="18" t="s">
        <v>280</v>
      </c>
    </row>
    <row r="242" spans="1:7" ht="16.5" customHeight="1">
      <c r="A242" s="4">
        <v>36800</v>
      </c>
      <c r="B242" s="8" t="s">
        <v>34</v>
      </c>
      <c r="C242" s="8" t="s">
        <v>35</v>
      </c>
      <c r="D242" s="5">
        <v>11321</v>
      </c>
      <c r="E242" s="18" t="s">
        <v>280</v>
      </c>
      <c r="F242" s="18" t="s">
        <v>280</v>
      </c>
      <c r="G242" s="18" t="s">
        <v>280</v>
      </c>
    </row>
    <row r="243" spans="1:7" ht="16.5" customHeight="1">
      <c r="A243" s="4">
        <v>36831</v>
      </c>
      <c r="B243" s="5">
        <v>125666</v>
      </c>
      <c r="C243" s="5">
        <v>149356</v>
      </c>
      <c r="D243" s="5">
        <v>23690</v>
      </c>
      <c r="E243" s="18" t="s">
        <v>280</v>
      </c>
      <c r="F243" s="18" t="s">
        <v>280</v>
      </c>
      <c r="G243" s="18" t="s">
        <v>280</v>
      </c>
    </row>
    <row r="244" spans="1:7" ht="16.5" customHeight="1">
      <c r="A244" s="4">
        <v>36861</v>
      </c>
      <c r="B244" s="5">
        <v>200489</v>
      </c>
      <c r="C244" s="5">
        <v>167823</v>
      </c>
      <c r="D244" s="5">
        <v>-32666</v>
      </c>
      <c r="E244" s="18" t="s">
        <v>280</v>
      </c>
      <c r="F244" s="18" t="s">
        <v>280</v>
      </c>
      <c r="G244" s="18" t="s">
        <v>280</v>
      </c>
    </row>
    <row r="245" spans="1:7" ht="16.5" customHeight="1">
      <c r="A245" s="4">
        <v>36892</v>
      </c>
      <c r="B245" s="5">
        <v>219215</v>
      </c>
      <c r="C245" s="5">
        <v>142836</v>
      </c>
      <c r="D245" s="5">
        <v>-76379</v>
      </c>
      <c r="E245" s="18" t="s">
        <v>280</v>
      </c>
      <c r="F245" s="18" t="s">
        <v>280</v>
      </c>
      <c r="G245" s="18" t="s">
        <v>280</v>
      </c>
    </row>
    <row r="246" spans="1:7" ht="16.5" customHeight="1">
      <c r="A246" s="4">
        <v>36923</v>
      </c>
      <c r="B246" s="5">
        <v>110481</v>
      </c>
      <c r="C246" s="5">
        <v>158649</v>
      </c>
      <c r="D246" s="5">
        <v>48168</v>
      </c>
      <c r="E246" s="18" t="s">
        <v>280</v>
      </c>
      <c r="F246" s="18" t="s">
        <v>280</v>
      </c>
      <c r="G246" s="18" t="s">
        <v>280</v>
      </c>
    </row>
    <row r="247" spans="1:7" ht="16.5" customHeight="1">
      <c r="A247" s="4">
        <v>36951</v>
      </c>
      <c r="B247" s="8" t="s">
        <v>36</v>
      </c>
      <c r="C247" s="8" t="s">
        <v>219</v>
      </c>
      <c r="D247" s="5">
        <v>50662</v>
      </c>
      <c r="E247" s="18" t="s">
        <v>280</v>
      </c>
      <c r="F247" s="18" t="s">
        <v>280</v>
      </c>
      <c r="G247" s="18" t="s">
        <v>280</v>
      </c>
    </row>
    <row r="248" spans="1:7" ht="16.5" customHeight="1">
      <c r="A248" s="4">
        <v>36982</v>
      </c>
      <c r="B248" s="5">
        <v>331796</v>
      </c>
      <c r="C248" s="5">
        <v>141999</v>
      </c>
      <c r="D248" s="5">
        <v>-189796</v>
      </c>
      <c r="E248" s="18" t="s">
        <v>280</v>
      </c>
      <c r="F248" s="18" t="s">
        <v>280</v>
      </c>
      <c r="G248" s="18" t="s">
        <v>280</v>
      </c>
    </row>
    <row r="249" spans="1:7" ht="16.5" customHeight="1">
      <c r="A249" s="4">
        <v>37012</v>
      </c>
      <c r="B249" s="8" t="s">
        <v>37</v>
      </c>
      <c r="C249" s="8" t="s">
        <v>41</v>
      </c>
      <c r="D249" s="5">
        <v>27919</v>
      </c>
      <c r="E249" s="18" t="s">
        <v>280</v>
      </c>
      <c r="F249" s="18" t="s">
        <v>280</v>
      </c>
      <c r="G249" s="18" t="s">
        <v>280</v>
      </c>
    </row>
    <row r="250" spans="1:7" ht="16.5" customHeight="1">
      <c r="A250" s="4">
        <v>37043</v>
      </c>
      <c r="B250" s="5">
        <v>202887</v>
      </c>
      <c r="C250" s="5">
        <v>171025</v>
      </c>
      <c r="D250" s="5">
        <v>-31862</v>
      </c>
      <c r="E250" s="18" t="s">
        <v>280</v>
      </c>
      <c r="F250" s="18" t="s">
        <v>280</v>
      </c>
      <c r="G250" s="18" t="s">
        <v>280</v>
      </c>
    </row>
    <row r="251" spans="1:7" ht="16.5" customHeight="1">
      <c r="A251" s="4">
        <v>37073</v>
      </c>
      <c r="B251" s="5">
        <v>127842</v>
      </c>
      <c r="C251" s="8" t="s">
        <v>40</v>
      </c>
      <c r="D251" s="5">
        <v>-2820</v>
      </c>
      <c r="E251" s="18" t="s">
        <v>280</v>
      </c>
      <c r="F251" s="18" t="s">
        <v>280</v>
      </c>
      <c r="G251" s="18" t="s">
        <v>280</v>
      </c>
    </row>
    <row r="252" spans="1:7" ht="16.5" customHeight="1">
      <c r="A252" s="4">
        <v>37104</v>
      </c>
      <c r="B252" s="5">
        <v>122559</v>
      </c>
      <c r="C252" s="5">
        <v>202549</v>
      </c>
      <c r="D252" s="5">
        <v>79990</v>
      </c>
      <c r="E252" s="18" t="s">
        <v>280</v>
      </c>
      <c r="F252" s="18" t="s">
        <v>280</v>
      </c>
      <c r="G252" s="18" t="s">
        <v>280</v>
      </c>
    </row>
    <row r="253" spans="1:7" ht="16.5" customHeight="1">
      <c r="A253" s="4">
        <v>37135</v>
      </c>
      <c r="B253" s="8" t="s">
        <v>38</v>
      </c>
      <c r="C253" s="8" t="s">
        <v>39</v>
      </c>
      <c r="D253" s="5">
        <v>-35501</v>
      </c>
      <c r="E253" s="18" t="s">
        <v>280</v>
      </c>
      <c r="F253" s="18" t="s">
        <v>280</v>
      </c>
      <c r="G253" s="18" t="s">
        <v>280</v>
      </c>
    </row>
    <row r="254" spans="1:7" ht="16.5" customHeight="1">
      <c r="A254" s="4">
        <v>37165</v>
      </c>
      <c r="B254" s="5">
        <v>157163</v>
      </c>
      <c r="C254" s="8" t="s">
        <v>42</v>
      </c>
      <c r="D254" s="5">
        <v>7656</v>
      </c>
      <c r="E254" s="18" t="s">
        <v>280</v>
      </c>
      <c r="F254" s="18" t="s">
        <v>280</v>
      </c>
      <c r="G254" s="18" t="s">
        <v>280</v>
      </c>
    </row>
    <row r="255" spans="1:7" ht="16.5" customHeight="1">
      <c r="A255" s="4">
        <v>37196</v>
      </c>
      <c r="B255" s="5">
        <v>121233</v>
      </c>
      <c r="C255" s="5">
        <v>175500</v>
      </c>
      <c r="D255" s="5">
        <v>54267</v>
      </c>
      <c r="E255" s="18" t="s">
        <v>280</v>
      </c>
      <c r="F255" s="18" t="s">
        <v>280</v>
      </c>
      <c r="G255" s="18" t="s">
        <v>280</v>
      </c>
    </row>
    <row r="256" spans="1:7" ht="16.5" customHeight="1">
      <c r="A256" s="4">
        <v>37226</v>
      </c>
      <c r="B256" s="5">
        <v>187914</v>
      </c>
      <c r="C256" s="5">
        <v>161347</v>
      </c>
      <c r="D256" s="5">
        <v>-26567</v>
      </c>
      <c r="E256" s="18" t="s">
        <v>280</v>
      </c>
      <c r="F256" s="18" t="s">
        <v>280</v>
      </c>
      <c r="G256" s="18" t="s">
        <v>280</v>
      </c>
    </row>
    <row r="257" spans="1:7" ht="16.5" customHeight="1">
      <c r="A257" s="4">
        <v>37257</v>
      </c>
      <c r="B257" s="5">
        <v>203452</v>
      </c>
      <c r="C257" s="8" t="s">
        <v>43</v>
      </c>
      <c r="D257" s="5">
        <v>-43729</v>
      </c>
      <c r="E257" s="18" t="s">
        <v>280</v>
      </c>
      <c r="F257" s="18" t="s">
        <v>280</v>
      </c>
      <c r="G257" s="18" t="s">
        <v>280</v>
      </c>
    </row>
    <row r="258" spans="1:7" ht="16.5" customHeight="1">
      <c r="A258" s="4">
        <v>37288</v>
      </c>
      <c r="B258" s="5">
        <v>97962</v>
      </c>
      <c r="C258" s="5">
        <v>174018</v>
      </c>
      <c r="D258" s="5">
        <v>76056</v>
      </c>
      <c r="E258" s="18" t="s">
        <v>280</v>
      </c>
      <c r="F258" s="18" t="s">
        <v>280</v>
      </c>
      <c r="G258" s="18" t="s">
        <v>280</v>
      </c>
    </row>
    <row r="259" spans="1:7" ht="16.5" customHeight="1">
      <c r="A259" s="4">
        <v>37316</v>
      </c>
      <c r="B259" s="5">
        <v>111220</v>
      </c>
      <c r="C259" s="5">
        <v>175458</v>
      </c>
      <c r="D259" s="5">
        <v>64238</v>
      </c>
      <c r="E259" s="18" t="s">
        <v>280</v>
      </c>
      <c r="F259" s="18" t="s">
        <v>280</v>
      </c>
      <c r="G259" s="18" t="s">
        <v>280</v>
      </c>
    </row>
    <row r="260" spans="1:7" ht="16.5" customHeight="1">
      <c r="A260" s="4">
        <v>37347</v>
      </c>
      <c r="B260" s="5">
        <v>237426</v>
      </c>
      <c r="C260" s="5">
        <v>170257</v>
      </c>
      <c r="D260" s="5">
        <v>-67170</v>
      </c>
      <c r="E260" s="18" t="s">
        <v>280</v>
      </c>
      <c r="F260" s="18" t="s">
        <v>280</v>
      </c>
      <c r="G260" s="18" t="s">
        <v>280</v>
      </c>
    </row>
    <row r="261" spans="1:7" ht="16.5" customHeight="1">
      <c r="A261" s="4">
        <v>37377</v>
      </c>
      <c r="B261" s="5">
        <v>102496</v>
      </c>
      <c r="C261" s="5">
        <v>183127</v>
      </c>
      <c r="D261" s="5">
        <v>80631</v>
      </c>
      <c r="E261" s="18" t="s">
        <v>280</v>
      </c>
      <c r="F261" s="18" t="s">
        <v>280</v>
      </c>
      <c r="G261" s="18" t="s">
        <v>280</v>
      </c>
    </row>
    <row r="262" spans="1:7" ht="16.5" customHeight="1">
      <c r="A262" s="4">
        <v>37408</v>
      </c>
      <c r="B262" s="5">
        <v>182633</v>
      </c>
      <c r="C262" s="5">
        <v>153562</v>
      </c>
      <c r="D262" s="5">
        <v>-29071</v>
      </c>
      <c r="E262" s="18" t="s">
        <v>280</v>
      </c>
      <c r="F262" s="18" t="s">
        <v>280</v>
      </c>
      <c r="G262" s="18" t="s">
        <v>280</v>
      </c>
    </row>
    <row r="263" spans="1:7" ht="16.5" customHeight="1">
      <c r="A263" s="4">
        <v>37438</v>
      </c>
      <c r="B263" s="5">
        <v>134409</v>
      </c>
      <c r="C263" s="5">
        <v>163568</v>
      </c>
      <c r="D263" s="5">
        <v>29159</v>
      </c>
      <c r="E263" s="18" t="s">
        <v>280</v>
      </c>
      <c r="F263" s="18" t="s">
        <v>280</v>
      </c>
      <c r="G263" s="18" t="s">
        <v>280</v>
      </c>
    </row>
    <row r="264" spans="1:7" ht="16.5" customHeight="1">
      <c r="A264" s="4">
        <v>37469</v>
      </c>
      <c r="B264" s="5">
        <v>124619</v>
      </c>
      <c r="C264" s="5">
        <v>179328</v>
      </c>
      <c r="D264" s="5">
        <v>54709</v>
      </c>
      <c r="E264" s="18" t="s">
        <v>280</v>
      </c>
      <c r="F264" s="18" t="s">
        <v>280</v>
      </c>
      <c r="G264" s="18" t="s">
        <v>280</v>
      </c>
    </row>
    <row r="265" spans="1:7" ht="16.5" customHeight="1">
      <c r="A265" s="4">
        <v>37500</v>
      </c>
      <c r="B265" s="8" t="s">
        <v>44</v>
      </c>
      <c r="C265" s="8" t="s">
        <v>45</v>
      </c>
      <c r="D265" s="5">
        <v>-42388</v>
      </c>
      <c r="E265" s="18" t="s">
        <v>280</v>
      </c>
      <c r="F265" s="18" t="s">
        <v>280</v>
      </c>
      <c r="G265" s="18" t="s">
        <v>280</v>
      </c>
    </row>
    <row r="266" spans="1:7" ht="16.5" customHeight="1">
      <c r="A266" s="4">
        <v>37530</v>
      </c>
      <c r="B266" s="8" t="s">
        <v>46</v>
      </c>
      <c r="C266" s="8" t="s">
        <v>47</v>
      </c>
      <c r="D266" s="5">
        <v>54072</v>
      </c>
      <c r="E266" s="18" t="s">
        <v>280</v>
      </c>
      <c r="F266" s="18" t="s">
        <v>280</v>
      </c>
      <c r="G266" s="18" t="s">
        <v>280</v>
      </c>
    </row>
    <row r="267" spans="1:7" ht="16.5" customHeight="1">
      <c r="A267" s="4">
        <v>37561</v>
      </c>
      <c r="B267" s="8" t="s">
        <v>48</v>
      </c>
      <c r="C267" s="8" t="s">
        <v>49</v>
      </c>
      <c r="D267" s="5">
        <v>58883</v>
      </c>
      <c r="E267" s="18" t="s">
        <v>280</v>
      </c>
      <c r="F267" s="18" t="s">
        <v>280</v>
      </c>
      <c r="G267" s="18" t="s">
        <v>280</v>
      </c>
    </row>
    <row r="268" spans="1:7" ht="16.5" customHeight="1">
      <c r="A268" s="4">
        <v>37591</v>
      </c>
      <c r="B268" s="8" t="s">
        <v>50</v>
      </c>
      <c r="C268" s="5">
        <v>178069</v>
      </c>
      <c r="D268" s="5">
        <v>-4719</v>
      </c>
      <c r="E268" s="18" t="s">
        <v>280</v>
      </c>
      <c r="F268" s="18" t="s">
        <v>280</v>
      </c>
      <c r="G268" s="18" t="s">
        <v>280</v>
      </c>
    </row>
    <row r="269" spans="1:7" ht="16.5" customHeight="1">
      <c r="A269" s="4">
        <v>37622</v>
      </c>
      <c r="B269" s="8" t="s">
        <v>51</v>
      </c>
      <c r="C269" s="8" t="s">
        <v>52</v>
      </c>
      <c r="D269" s="5">
        <v>-10633</v>
      </c>
      <c r="E269" s="18" t="s">
        <v>280</v>
      </c>
      <c r="F269" s="18" t="s">
        <v>280</v>
      </c>
      <c r="G269" s="18" t="s">
        <v>280</v>
      </c>
    </row>
    <row r="270" spans="1:7" ht="16.5" customHeight="1">
      <c r="A270" s="4">
        <v>37653</v>
      </c>
      <c r="B270" s="8" t="s">
        <v>53</v>
      </c>
      <c r="C270" s="8" t="s">
        <v>54</v>
      </c>
      <c r="D270" s="5">
        <v>96663</v>
      </c>
      <c r="E270" s="18" t="s">
        <v>280</v>
      </c>
      <c r="F270" s="18" t="s">
        <v>280</v>
      </c>
      <c r="G270" s="18" t="s">
        <v>280</v>
      </c>
    </row>
    <row r="271" spans="1:7" ht="16.5" customHeight="1">
      <c r="A271" s="4">
        <v>37681</v>
      </c>
      <c r="B271" s="8" t="s">
        <v>55</v>
      </c>
      <c r="C271" s="8" t="s">
        <v>56</v>
      </c>
      <c r="D271" s="5">
        <v>58877</v>
      </c>
      <c r="E271" s="18" t="s">
        <v>280</v>
      </c>
      <c r="F271" s="18" t="s">
        <v>280</v>
      </c>
      <c r="G271" s="18" t="s">
        <v>280</v>
      </c>
    </row>
    <row r="272" spans="1:7" ht="16.5" customHeight="1">
      <c r="A272" s="4">
        <v>37712</v>
      </c>
      <c r="B272" s="8" t="s">
        <v>57</v>
      </c>
      <c r="C272" s="8" t="s">
        <v>58</v>
      </c>
      <c r="D272" s="5">
        <v>-51066</v>
      </c>
      <c r="E272" s="18" t="s">
        <v>280</v>
      </c>
      <c r="F272" s="18" t="s">
        <v>280</v>
      </c>
      <c r="G272" s="18" t="s">
        <v>280</v>
      </c>
    </row>
    <row r="273" spans="1:7" ht="16.5" customHeight="1">
      <c r="A273" s="4">
        <v>37742</v>
      </c>
      <c r="B273" s="8" t="s">
        <v>59</v>
      </c>
      <c r="C273" s="8" t="s">
        <v>60</v>
      </c>
      <c r="D273" s="5">
        <v>88867</v>
      </c>
      <c r="E273" s="18" t="s">
        <v>280</v>
      </c>
      <c r="F273" s="18" t="s">
        <v>280</v>
      </c>
      <c r="G273" s="18" t="s">
        <v>280</v>
      </c>
    </row>
    <row r="274" spans="1:7" ht="16.5" customHeight="1">
      <c r="A274" s="4">
        <v>37773</v>
      </c>
      <c r="B274" s="8" t="s">
        <v>61</v>
      </c>
      <c r="C274" s="8" t="s">
        <v>62</v>
      </c>
      <c r="D274" s="5">
        <v>-21230</v>
      </c>
      <c r="E274" s="18" t="s">
        <v>280</v>
      </c>
      <c r="F274" s="18" t="s">
        <v>280</v>
      </c>
      <c r="G274" s="18" t="s">
        <v>280</v>
      </c>
    </row>
    <row r="275" spans="1:7" ht="16.5" customHeight="1">
      <c r="A275" s="4">
        <v>37803</v>
      </c>
      <c r="B275" s="8" t="s">
        <v>63</v>
      </c>
      <c r="C275" s="8" t="s">
        <v>64</v>
      </c>
      <c r="D275" s="5">
        <v>54240</v>
      </c>
      <c r="E275" s="18" t="s">
        <v>280</v>
      </c>
      <c r="F275" s="18" t="s">
        <v>280</v>
      </c>
      <c r="G275" s="18" t="s">
        <v>280</v>
      </c>
    </row>
    <row r="276" spans="1:7" ht="16.5" customHeight="1">
      <c r="A276" s="4">
        <v>37834</v>
      </c>
      <c r="B276" s="8" t="s">
        <v>65</v>
      </c>
      <c r="C276" s="8" t="s">
        <v>66</v>
      </c>
      <c r="D276" s="5">
        <v>76587</v>
      </c>
      <c r="E276" s="18" t="s">
        <v>280</v>
      </c>
      <c r="F276" s="18" t="s">
        <v>280</v>
      </c>
      <c r="G276" s="18" t="s">
        <v>280</v>
      </c>
    </row>
    <row r="277" spans="1:7" ht="16.5" customHeight="1">
      <c r="A277" s="4">
        <v>37865</v>
      </c>
      <c r="B277" s="8" t="s">
        <v>67</v>
      </c>
      <c r="C277" s="8" t="s">
        <v>68</v>
      </c>
      <c r="D277" s="5">
        <v>-23402</v>
      </c>
      <c r="E277" s="18" t="s">
        <v>280</v>
      </c>
      <c r="F277" s="18" t="s">
        <v>280</v>
      </c>
      <c r="G277" s="18" t="s">
        <v>280</v>
      </c>
    </row>
    <row r="278" spans="1:7" ht="16.5" customHeight="1">
      <c r="A278" s="4">
        <v>37895</v>
      </c>
      <c r="B278" s="8" t="s">
        <v>69</v>
      </c>
      <c r="C278" s="8" t="s">
        <v>70</v>
      </c>
      <c r="D278" s="5">
        <v>69545</v>
      </c>
      <c r="E278" s="18" t="s">
        <v>280</v>
      </c>
      <c r="F278" s="18" t="s">
        <v>280</v>
      </c>
      <c r="G278" s="18" t="s">
        <v>280</v>
      </c>
    </row>
    <row r="279" spans="1:7" ht="16.5" customHeight="1">
      <c r="A279" s="4">
        <v>37926</v>
      </c>
      <c r="B279" s="5">
        <v>118207</v>
      </c>
      <c r="C279" s="5">
        <v>161179</v>
      </c>
      <c r="D279" s="8" t="s">
        <v>169</v>
      </c>
      <c r="E279" s="18" t="s">
        <v>280</v>
      </c>
      <c r="F279" s="18" t="s">
        <v>280</v>
      </c>
      <c r="G279" s="18" t="s">
        <v>280</v>
      </c>
    </row>
    <row r="280" spans="1:7" ht="16.5" customHeight="1">
      <c r="A280" s="4">
        <v>37956</v>
      </c>
      <c r="B280" s="5">
        <v>186730</v>
      </c>
      <c r="C280" s="8" t="s">
        <v>77</v>
      </c>
      <c r="D280" s="8" t="s">
        <v>170</v>
      </c>
      <c r="E280" s="18" t="s">
        <v>280</v>
      </c>
      <c r="F280" s="18" t="s">
        <v>280</v>
      </c>
      <c r="G280" s="18" t="s">
        <v>280</v>
      </c>
    </row>
    <row r="281" spans="1:7" ht="16.5" customHeight="1">
      <c r="A281" s="4">
        <v>37987</v>
      </c>
      <c r="B281" s="8" t="s">
        <v>78</v>
      </c>
      <c r="C281" s="8" t="s">
        <v>81</v>
      </c>
      <c r="D281" s="8" t="s">
        <v>171</v>
      </c>
      <c r="E281" s="18" t="s">
        <v>280</v>
      </c>
      <c r="F281" s="18" t="s">
        <v>280</v>
      </c>
      <c r="G281" s="18" t="s">
        <v>280</v>
      </c>
    </row>
    <row r="282" spans="1:7" ht="16.5" customHeight="1">
      <c r="A282" s="4">
        <v>38018</v>
      </c>
      <c r="B282" s="8" t="s">
        <v>79</v>
      </c>
      <c r="C282" s="8" t="s">
        <v>82</v>
      </c>
      <c r="D282" s="8" t="s">
        <v>172</v>
      </c>
      <c r="E282" s="18" t="s">
        <v>280</v>
      </c>
      <c r="F282" s="18" t="s">
        <v>280</v>
      </c>
      <c r="G282" s="18" t="s">
        <v>280</v>
      </c>
    </row>
    <row r="283" spans="1:7" ht="16.5" customHeight="1">
      <c r="A283" s="4">
        <v>38047</v>
      </c>
      <c r="B283" s="8" t="s">
        <v>80</v>
      </c>
      <c r="C283" s="8" t="s">
        <v>83</v>
      </c>
      <c r="D283" s="8" t="s">
        <v>173</v>
      </c>
      <c r="E283" s="18" t="s">
        <v>280</v>
      </c>
      <c r="F283" s="18" t="s">
        <v>280</v>
      </c>
      <c r="G283" s="18" t="s">
        <v>280</v>
      </c>
    </row>
    <row r="284" spans="1:7" ht="16.5" customHeight="1">
      <c r="A284" s="4">
        <v>38078</v>
      </c>
      <c r="B284" s="5">
        <v>220091</v>
      </c>
      <c r="C284" s="8" t="s">
        <v>84</v>
      </c>
      <c r="D284" s="8" t="s">
        <v>174</v>
      </c>
      <c r="E284" s="18" t="s">
        <v>280</v>
      </c>
      <c r="F284" s="18" t="s">
        <v>280</v>
      </c>
      <c r="G284" s="18" t="s">
        <v>280</v>
      </c>
    </row>
    <row r="285" spans="1:7" ht="16.5" customHeight="1">
      <c r="A285" s="4">
        <v>38108</v>
      </c>
      <c r="B285" s="5">
        <v>115450</v>
      </c>
      <c r="C285" s="8" t="s">
        <v>85</v>
      </c>
      <c r="D285" s="8" t="s">
        <v>175</v>
      </c>
      <c r="E285" s="18" t="s">
        <v>280</v>
      </c>
      <c r="F285" s="18" t="s">
        <v>280</v>
      </c>
      <c r="G285" s="18" t="s">
        <v>280</v>
      </c>
    </row>
    <row r="286" spans="1:7" ht="16.5" customHeight="1">
      <c r="A286" s="4">
        <v>38139</v>
      </c>
      <c r="B286" s="5">
        <v>214382</v>
      </c>
      <c r="C286" s="8" t="s">
        <v>86</v>
      </c>
      <c r="D286" s="8" t="s">
        <v>176</v>
      </c>
      <c r="E286" s="18" t="s">
        <v>280</v>
      </c>
      <c r="F286" s="18" t="s">
        <v>280</v>
      </c>
      <c r="G286" s="18" t="s">
        <v>280</v>
      </c>
    </row>
    <row r="287" spans="1:7" ht="16.5" customHeight="1">
      <c r="A287" s="4">
        <v>38169</v>
      </c>
      <c r="B287" s="5">
        <v>134415</v>
      </c>
      <c r="C287" s="5">
        <v>203575</v>
      </c>
      <c r="D287" s="5">
        <v>69160</v>
      </c>
      <c r="E287" s="18" t="s">
        <v>280</v>
      </c>
      <c r="F287" s="18" t="s">
        <v>280</v>
      </c>
      <c r="G287" s="18" t="s">
        <v>280</v>
      </c>
    </row>
    <row r="288" spans="1:7" ht="16.5" customHeight="1">
      <c r="A288" s="4">
        <v>38200</v>
      </c>
      <c r="B288" s="5">
        <v>137729</v>
      </c>
      <c r="C288" s="8" t="s">
        <v>87</v>
      </c>
      <c r="D288" s="8" t="s">
        <v>177</v>
      </c>
      <c r="E288" s="18" t="s">
        <v>280</v>
      </c>
      <c r="F288" s="18" t="s">
        <v>280</v>
      </c>
      <c r="G288" s="18" t="s">
        <v>280</v>
      </c>
    </row>
    <row r="289" spans="1:7" ht="16.5" customHeight="1">
      <c r="A289" s="4">
        <v>38231</v>
      </c>
      <c r="B289" s="8" t="s">
        <v>89</v>
      </c>
      <c r="C289" s="8" t="s">
        <v>88</v>
      </c>
      <c r="D289" s="8" t="s">
        <v>178</v>
      </c>
      <c r="E289" s="18" t="s">
        <v>280</v>
      </c>
      <c r="F289" s="18" t="s">
        <v>280</v>
      </c>
      <c r="G289" s="18" t="s">
        <v>280</v>
      </c>
    </row>
    <row r="290" spans="1:7" ht="16.5" customHeight="1">
      <c r="A290" s="4">
        <v>38261</v>
      </c>
      <c r="B290" s="8" t="s">
        <v>71</v>
      </c>
      <c r="C290" s="8" t="s">
        <v>72</v>
      </c>
      <c r="D290" s="8" t="s">
        <v>73</v>
      </c>
      <c r="E290" s="18" t="s">
        <v>280</v>
      </c>
      <c r="F290" s="18" t="s">
        <v>280</v>
      </c>
      <c r="G290" s="18" t="s">
        <v>280</v>
      </c>
    </row>
    <row r="291" spans="1:7" ht="16.5" customHeight="1">
      <c r="A291" s="4">
        <v>38292</v>
      </c>
      <c r="B291" s="8" t="s">
        <v>74</v>
      </c>
      <c r="C291" s="8" t="s">
        <v>75</v>
      </c>
      <c r="D291" s="8" t="s">
        <v>76</v>
      </c>
      <c r="E291" s="18" t="s">
        <v>280</v>
      </c>
      <c r="F291" s="18" t="s">
        <v>280</v>
      </c>
      <c r="G291" s="18" t="s">
        <v>280</v>
      </c>
    </row>
    <row r="292" spans="1:7" ht="16.5" customHeight="1">
      <c r="A292" s="4">
        <v>38322</v>
      </c>
      <c r="B292" s="5">
        <v>215749</v>
      </c>
      <c r="C292" s="5">
        <v>218310</v>
      </c>
      <c r="D292" s="5">
        <v>2561</v>
      </c>
      <c r="E292" s="18" t="s">
        <v>280</v>
      </c>
      <c r="F292" s="18" t="s">
        <v>280</v>
      </c>
      <c r="G292" s="18" t="s">
        <v>280</v>
      </c>
    </row>
    <row r="293" spans="1:7" ht="16.5" customHeight="1">
      <c r="A293" s="4">
        <v>38353</v>
      </c>
      <c r="B293" s="5">
        <v>202217</v>
      </c>
      <c r="C293" s="8" t="s">
        <v>179</v>
      </c>
      <c r="D293" s="8" t="s">
        <v>95</v>
      </c>
      <c r="E293" s="18" t="s">
        <v>280</v>
      </c>
      <c r="F293" s="18" t="s">
        <v>280</v>
      </c>
      <c r="G293" s="18" t="s">
        <v>280</v>
      </c>
    </row>
    <row r="294" spans="1:7" ht="16.5" customHeight="1">
      <c r="A294" s="4">
        <v>38384</v>
      </c>
      <c r="B294" s="8" t="s">
        <v>90</v>
      </c>
      <c r="C294" s="8" t="s">
        <v>94</v>
      </c>
      <c r="D294" s="8" t="s">
        <v>96</v>
      </c>
      <c r="E294" s="18" t="s">
        <v>280</v>
      </c>
      <c r="F294" s="18" t="s">
        <v>280</v>
      </c>
      <c r="G294" s="18" t="s">
        <v>280</v>
      </c>
    </row>
    <row r="295" spans="1:7" ht="16.5" customHeight="1">
      <c r="A295" s="4">
        <v>38412</v>
      </c>
      <c r="B295" s="8" t="s">
        <v>91</v>
      </c>
      <c r="C295" s="8" t="s">
        <v>97</v>
      </c>
      <c r="D295" s="8" t="s">
        <v>98</v>
      </c>
      <c r="E295" s="18" t="s">
        <v>280</v>
      </c>
      <c r="F295" s="18" t="s">
        <v>280</v>
      </c>
      <c r="G295" s="18" t="s">
        <v>280</v>
      </c>
    </row>
    <row r="296" spans="1:7" ht="16.5" customHeight="1">
      <c r="A296" s="4">
        <v>38443</v>
      </c>
      <c r="B296" s="8" t="s">
        <v>92</v>
      </c>
      <c r="C296" s="8" t="s">
        <v>99</v>
      </c>
      <c r="D296" s="8" t="s">
        <v>100</v>
      </c>
      <c r="E296" s="18" t="s">
        <v>280</v>
      </c>
      <c r="F296" s="18" t="s">
        <v>280</v>
      </c>
      <c r="G296" s="18" t="s">
        <v>280</v>
      </c>
    </row>
    <row r="297" spans="1:7" ht="16.5" customHeight="1">
      <c r="A297" s="4">
        <v>38473</v>
      </c>
      <c r="B297" s="5">
        <v>152731</v>
      </c>
      <c r="C297" s="8" t="s">
        <v>101</v>
      </c>
      <c r="D297" s="8" t="s">
        <v>102</v>
      </c>
      <c r="E297" s="18" t="s">
        <v>280</v>
      </c>
      <c r="F297" s="18" t="s">
        <v>280</v>
      </c>
      <c r="G297" s="18" t="s">
        <v>280</v>
      </c>
    </row>
    <row r="298" spans="1:7" ht="16.5" customHeight="1">
      <c r="A298" s="2">
        <v>38508</v>
      </c>
      <c r="B298" s="8" t="s">
        <v>93</v>
      </c>
      <c r="C298" s="8" t="s">
        <v>103</v>
      </c>
      <c r="D298" s="8" t="s">
        <v>104</v>
      </c>
      <c r="E298" s="18" t="s">
        <v>280</v>
      </c>
      <c r="F298" s="18" t="s">
        <v>280</v>
      </c>
      <c r="G298" s="18" t="s">
        <v>280</v>
      </c>
    </row>
    <row r="299" spans="1:7" ht="16.5" customHeight="1">
      <c r="A299" s="2">
        <v>38538</v>
      </c>
      <c r="B299" s="3">
        <v>142092</v>
      </c>
      <c r="C299" s="8" t="s">
        <v>105</v>
      </c>
      <c r="D299" s="8" t="s">
        <v>106</v>
      </c>
      <c r="E299" s="18" t="s">
        <v>280</v>
      </c>
      <c r="F299" s="18" t="s">
        <v>280</v>
      </c>
      <c r="G299" s="18" t="s">
        <v>280</v>
      </c>
    </row>
    <row r="300" spans="1:7" ht="16.5" customHeight="1">
      <c r="A300" s="2">
        <v>38569</v>
      </c>
      <c r="B300" s="3">
        <v>155438</v>
      </c>
      <c r="C300" s="8" t="s">
        <v>107</v>
      </c>
      <c r="D300" s="8" t="s">
        <v>108</v>
      </c>
      <c r="E300" s="18" t="s">
        <v>280</v>
      </c>
      <c r="F300" s="18" t="s">
        <v>280</v>
      </c>
      <c r="G300" s="18" t="s">
        <v>280</v>
      </c>
    </row>
    <row r="301" spans="1:7" ht="16.5" customHeight="1">
      <c r="A301" s="2">
        <v>38600</v>
      </c>
      <c r="B301" s="3">
        <v>251628</v>
      </c>
      <c r="C301" s="8" t="s">
        <v>109</v>
      </c>
      <c r="D301" s="8" t="s">
        <v>110</v>
      </c>
      <c r="E301" s="18" t="s">
        <v>280</v>
      </c>
      <c r="F301" s="18" t="s">
        <v>280</v>
      </c>
      <c r="G301" s="18" t="s">
        <v>280</v>
      </c>
    </row>
    <row r="302" spans="1:7" ht="16.5" customHeight="1">
      <c r="A302" s="2">
        <v>38630</v>
      </c>
      <c r="B302" s="3">
        <v>149488</v>
      </c>
      <c r="C302" s="8" t="s">
        <v>111</v>
      </c>
      <c r="D302" s="8" t="s">
        <v>112</v>
      </c>
      <c r="E302" s="18" t="s">
        <v>280</v>
      </c>
      <c r="F302" s="18" t="s">
        <v>280</v>
      </c>
      <c r="G302" s="18" t="s">
        <v>280</v>
      </c>
    </row>
    <row r="303" spans="1:7" ht="16.5" customHeight="1">
      <c r="A303" s="2">
        <v>38661</v>
      </c>
      <c r="B303" s="3">
        <v>138840</v>
      </c>
      <c r="C303" s="8" t="s">
        <v>113</v>
      </c>
      <c r="D303" s="8" t="s">
        <v>114</v>
      </c>
      <c r="E303" s="18" t="s">
        <v>280</v>
      </c>
      <c r="F303" s="18" t="s">
        <v>280</v>
      </c>
      <c r="G303" s="18" t="s">
        <v>280</v>
      </c>
    </row>
    <row r="304" spans="1:7" ht="16.5" customHeight="1">
      <c r="A304" s="2">
        <v>38691</v>
      </c>
      <c r="B304" s="3">
        <v>241883</v>
      </c>
      <c r="C304" s="8" t="s">
        <v>180</v>
      </c>
      <c r="D304" s="8" t="s">
        <v>115</v>
      </c>
      <c r="E304" s="18" t="s">
        <v>280</v>
      </c>
      <c r="F304" s="18" t="s">
        <v>280</v>
      </c>
      <c r="G304" s="18" t="s">
        <v>280</v>
      </c>
    </row>
    <row r="305" spans="1:7" ht="16.5" customHeight="1">
      <c r="A305" s="2">
        <v>38723</v>
      </c>
      <c r="B305" s="3">
        <v>230010</v>
      </c>
      <c r="C305" s="8" t="s">
        <v>116</v>
      </c>
      <c r="D305" s="8" t="s">
        <v>117</v>
      </c>
      <c r="E305" s="18" t="s">
        <v>280</v>
      </c>
      <c r="F305" s="18" t="s">
        <v>280</v>
      </c>
      <c r="G305" s="18" t="s">
        <v>280</v>
      </c>
    </row>
    <row r="306" spans="1:7" ht="16.5" customHeight="1">
      <c r="A306" s="2">
        <v>38754</v>
      </c>
      <c r="B306" s="3">
        <v>112853</v>
      </c>
      <c r="C306" s="8" t="s">
        <v>118</v>
      </c>
      <c r="D306" s="8" t="s">
        <v>119</v>
      </c>
      <c r="E306" s="18" t="s">
        <v>280</v>
      </c>
      <c r="F306" s="18" t="s">
        <v>280</v>
      </c>
      <c r="G306" s="18" t="s">
        <v>280</v>
      </c>
    </row>
    <row r="307" spans="1:7" ht="16.5" customHeight="1">
      <c r="A307" s="2">
        <v>38782</v>
      </c>
      <c r="B307" s="3">
        <v>164563</v>
      </c>
      <c r="C307" s="8" t="s">
        <v>120</v>
      </c>
      <c r="D307" s="8" t="s">
        <v>121</v>
      </c>
      <c r="E307" s="18" t="s">
        <v>280</v>
      </c>
      <c r="F307" s="18" t="s">
        <v>280</v>
      </c>
      <c r="G307" s="18" t="s">
        <v>280</v>
      </c>
    </row>
    <row r="308" spans="1:7" ht="16.5" customHeight="1">
      <c r="A308" s="2">
        <v>38813</v>
      </c>
      <c r="B308" s="3">
        <v>315090</v>
      </c>
      <c r="C308" s="8" t="s">
        <v>122</v>
      </c>
      <c r="D308" s="8" t="s">
        <v>123</v>
      </c>
      <c r="E308" s="18" t="s">
        <v>280</v>
      </c>
      <c r="F308" s="18" t="s">
        <v>280</v>
      </c>
      <c r="G308" s="18" t="s">
        <v>280</v>
      </c>
    </row>
    <row r="309" spans="1:7" ht="16.5" customHeight="1">
      <c r="A309" s="2">
        <v>38843</v>
      </c>
      <c r="B309" s="3">
        <v>192657</v>
      </c>
      <c r="C309" s="8" t="s">
        <v>124</v>
      </c>
      <c r="D309" s="8" t="s">
        <v>125</v>
      </c>
      <c r="E309" s="18" t="s">
        <v>280</v>
      </c>
      <c r="F309" s="18" t="s">
        <v>280</v>
      </c>
      <c r="G309" s="18" t="s">
        <v>280</v>
      </c>
    </row>
    <row r="310" spans="1:7" ht="16.5" customHeight="1">
      <c r="A310" s="2">
        <v>38874</v>
      </c>
      <c r="B310" s="3">
        <v>264355</v>
      </c>
      <c r="C310" s="8" t="s">
        <v>181</v>
      </c>
      <c r="D310" s="8" t="s">
        <v>126</v>
      </c>
      <c r="E310" s="18" t="s">
        <v>280</v>
      </c>
      <c r="F310" s="18" t="s">
        <v>280</v>
      </c>
      <c r="G310" s="18" t="s">
        <v>280</v>
      </c>
    </row>
    <row r="311" spans="1:7" ht="16.5" customHeight="1">
      <c r="A311" s="2">
        <v>38904</v>
      </c>
      <c r="B311" s="3">
        <v>159761</v>
      </c>
      <c r="C311" s="8" t="s">
        <v>127</v>
      </c>
      <c r="D311" s="8" t="s">
        <v>128</v>
      </c>
      <c r="E311" s="18" t="s">
        <v>280</v>
      </c>
      <c r="F311" s="18" t="s">
        <v>280</v>
      </c>
      <c r="G311" s="18" t="s">
        <v>280</v>
      </c>
    </row>
    <row r="312" spans="1:7" ht="16.5" customHeight="1">
      <c r="A312" s="2">
        <v>38935</v>
      </c>
      <c r="B312" s="3">
        <v>153878</v>
      </c>
      <c r="C312" s="8" t="s">
        <v>129</v>
      </c>
      <c r="D312" s="8" t="s">
        <v>130</v>
      </c>
      <c r="E312" s="18" t="s">
        <v>280</v>
      </c>
      <c r="F312" s="18" t="s">
        <v>280</v>
      </c>
      <c r="G312" s="18" t="s">
        <v>280</v>
      </c>
    </row>
    <row r="313" spans="1:7" ht="16.5" customHeight="1">
      <c r="A313" s="2">
        <v>38966</v>
      </c>
      <c r="B313" s="5">
        <v>283298</v>
      </c>
      <c r="C313" s="8" t="s">
        <v>131</v>
      </c>
      <c r="D313" s="8" t="s">
        <v>132</v>
      </c>
      <c r="E313" s="18" t="s">
        <v>280</v>
      </c>
      <c r="F313" s="18" t="s">
        <v>280</v>
      </c>
      <c r="G313" s="18" t="s">
        <v>280</v>
      </c>
    </row>
    <row r="314" spans="1:7" ht="16.5" customHeight="1">
      <c r="A314" s="2">
        <v>38996</v>
      </c>
      <c r="B314" s="3">
        <v>167693</v>
      </c>
      <c r="C314" s="3">
        <v>217014</v>
      </c>
      <c r="D314" s="3">
        <v>49321</v>
      </c>
      <c r="E314" s="18" t="s">
        <v>280</v>
      </c>
      <c r="F314" s="18" t="s">
        <v>280</v>
      </c>
      <c r="G314" s="18" t="s">
        <v>280</v>
      </c>
    </row>
    <row r="315" spans="1:7" ht="16.5" customHeight="1">
      <c r="A315" s="2">
        <v>39027</v>
      </c>
      <c r="B315" s="3">
        <v>145866</v>
      </c>
      <c r="C315" s="3">
        <v>218907</v>
      </c>
      <c r="D315" s="3">
        <v>73042</v>
      </c>
      <c r="E315" s="18" t="s">
        <v>280</v>
      </c>
      <c r="F315" s="18" t="s">
        <v>280</v>
      </c>
      <c r="G315" s="18" t="s">
        <v>280</v>
      </c>
    </row>
    <row r="316" spans="1:7" ht="16.5" customHeight="1">
      <c r="A316" s="2">
        <v>39057</v>
      </c>
      <c r="B316" s="3">
        <v>259969</v>
      </c>
      <c r="C316" s="3">
        <v>218007</v>
      </c>
      <c r="D316" s="3">
        <v>-41961</v>
      </c>
      <c r="E316" s="18" t="s">
        <v>280</v>
      </c>
      <c r="F316" s="18" t="s">
        <v>280</v>
      </c>
      <c r="G316" s="18" t="s">
        <v>280</v>
      </c>
    </row>
    <row r="317" spans="1:7" ht="16.5" customHeight="1">
      <c r="A317" s="2">
        <v>39088</v>
      </c>
      <c r="B317" s="3">
        <v>260609</v>
      </c>
      <c r="C317" s="3">
        <v>222372</v>
      </c>
      <c r="D317" s="3">
        <v>-38236</v>
      </c>
      <c r="E317" s="18" t="s">
        <v>280</v>
      </c>
      <c r="F317" s="18" t="s">
        <v>280</v>
      </c>
      <c r="G317" s="18" t="s">
        <v>280</v>
      </c>
    </row>
    <row r="318" spans="1:7" ht="16.5" customHeight="1">
      <c r="A318" s="2">
        <v>39119</v>
      </c>
      <c r="B318" s="3">
        <v>120312</v>
      </c>
      <c r="C318" s="3">
        <v>240305</v>
      </c>
      <c r="D318" s="3">
        <v>119993</v>
      </c>
      <c r="E318" s="18" t="s">
        <v>280</v>
      </c>
      <c r="F318" s="18" t="s">
        <v>280</v>
      </c>
      <c r="G318" s="18" t="s">
        <v>280</v>
      </c>
    </row>
    <row r="319" spans="1:7" ht="16.5" customHeight="1">
      <c r="A319" s="2">
        <v>39147</v>
      </c>
      <c r="B319" s="3">
        <v>166490</v>
      </c>
      <c r="C319" s="3">
        <v>262761</v>
      </c>
      <c r="D319" s="3">
        <v>96270</v>
      </c>
      <c r="E319" s="18" t="s">
        <v>280</v>
      </c>
      <c r="F319" s="18" t="s">
        <v>280</v>
      </c>
      <c r="G319" s="18" t="s">
        <v>280</v>
      </c>
    </row>
    <row r="320" spans="1:7" ht="16.5" customHeight="1">
      <c r="A320" s="2">
        <v>39178</v>
      </c>
      <c r="B320" s="3">
        <v>383641</v>
      </c>
      <c r="C320" s="3">
        <v>205967</v>
      </c>
      <c r="D320" s="3">
        <v>-177674</v>
      </c>
      <c r="E320" s="18" t="s">
        <v>280</v>
      </c>
      <c r="F320" s="18" t="s">
        <v>280</v>
      </c>
      <c r="G320" s="18" t="s">
        <v>280</v>
      </c>
    </row>
    <row r="321" spans="1:7" ht="16.5" customHeight="1">
      <c r="A321" s="2">
        <v>39208</v>
      </c>
      <c r="B321" s="3">
        <v>164239</v>
      </c>
      <c r="C321" s="3">
        <v>231937</v>
      </c>
      <c r="D321" s="3">
        <v>67699</v>
      </c>
      <c r="E321" s="18" t="s">
        <v>280</v>
      </c>
      <c r="F321" s="18" t="s">
        <v>280</v>
      </c>
      <c r="G321" s="18" t="s">
        <v>280</v>
      </c>
    </row>
    <row r="322" spans="1:7" ht="16.5" customHeight="1">
      <c r="A322" s="2">
        <v>39239</v>
      </c>
      <c r="B322" s="3">
        <v>276517</v>
      </c>
      <c r="C322" s="3">
        <v>249036</v>
      </c>
      <c r="D322" s="3">
        <v>-27481</v>
      </c>
      <c r="E322" s="18" t="s">
        <v>280</v>
      </c>
      <c r="F322" s="18" t="s">
        <v>280</v>
      </c>
      <c r="G322" s="18" t="s">
        <v>280</v>
      </c>
    </row>
    <row r="323" spans="1:7" ht="16.5" customHeight="1">
      <c r="A323" s="2">
        <v>39269</v>
      </c>
      <c r="B323" s="3">
        <v>170439</v>
      </c>
      <c r="C323" s="3">
        <v>206886</v>
      </c>
      <c r="D323" s="3">
        <v>36447</v>
      </c>
      <c r="E323" s="18" t="s">
        <v>280</v>
      </c>
      <c r="F323" s="18" t="s">
        <v>280</v>
      </c>
      <c r="G323" s="18" t="s">
        <v>280</v>
      </c>
    </row>
    <row r="324" spans="1:7" ht="16.5" customHeight="1">
      <c r="A324" s="2">
        <v>39300</v>
      </c>
      <c r="B324" s="3">
        <v>166545</v>
      </c>
      <c r="C324" s="3">
        <v>283518</v>
      </c>
      <c r="D324" s="3">
        <v>116973</v>
      </c>
      <c r="E324" s="18" t="s">
        <v>280</v>
      </c>
      <c r="F324" s="18" t="s">
        <v>280</v>
      </c>
      <c r="G324" s="18" t="s">
        <v>280</v>
      </c>
    </row>
    <row r="325" spans="1:7" ht="16.5" customHeight="1">
      <c r="A325" s="2">
        <v>39331</v>
      </c>
      <c r="B325" s="3">
        <v>285354</v>
      </c>
      <c r="C325" s="8" t="s">
        <v>133</v>
      </c>
      <c r="D325" s="8" t="s">
        <v>134</v>
      </c>
      <c r="E325" s="18" t="s">
        <v>280</v>
      </c>
      <c r="F325" s="18" t="s">
        <v>280</v>
      </c>
      <c r="G325" s="18" t="s">
        <v>280</v>
      </c>
    </row>
    <row r="326" spans="1:7" ht="16.5" customHeight="1">
      <c r="A326" s="2">
        <v>39361</v>
      </c>
      <c r="B326" s="3">
        <v>178175</v>
      </c>
      <c r="C326" s="8" t="s">
        <v>135</v>
      </c>
      <c r="D326" s="8" t="s">
        <v>182</v>
      </c>
      <c r="E326" s="18" t="s">
        <v>280</v>
      </c>
      <c r="F326" s="18" t="s">
        <v>280</v>
      </c>
      <c r="G326" s="18" t="s">
        <v>280</v>
      </c>
    </row>
    <row r="327" spans="1:7" ht="16.5" customHeight="1">
      <c r="A327" s="2">
        <v>39392</v>
      </c>
      <c r="B327" s="3">
        <v>151055</v>
      </c>
      <c r="C327" s="3">
        <v>249293</v>
      </c>
      <c r="D327" s="3">
        <v>98238</v>
      </c>
      <c r="E327" s="18" t="s">
        <v>280</v>
      </c>
      <c r="F327" s="18" t="s">
        <v>280</v>
      </c>
      <c r="G327" s="18" t="s">
        <v>280</v>
      </c>
    </row>
    <row r="328" spans="1:7" ht="16.5" customHeight="1">
      <c r="A328" s="2">
        <v>39422</v>
      </c>
      <c r="B328" s="3">
        <v>276982</v>
      </c>
      <c r="C328" s="3">
        <v>228721</v>
      </c>
      <c r="D328" s="3">
        <v>-48261</v>
      </c>
      <c r="E328" s="18" t="s">
        <v>280</v>
      </c>
      <c r="F328" s="18" t="s">
        <v>280</v>
      </c>
      <c r="G328" s="18" t="s">
        <v>280</v>
      </c>
    </row>
    <row r="329" spans="1:7" ht="16.5" customHeight="1">
      <c r="A329" s="2">
        <v>39453</v>
      </c>
      <c r="B329" s="3">
        <v>255217</v>
      </c>
      <c r="C329" s="3">
        <v>237379</v>
      </c>
      <c r="D329" s="3">
        <v>-17839</v>
      </c>
      <c r="E329" s="18" t="s">
        <v>280</v>
      </c>
      <c r="F329" s="18" t="s">
        <v>280</v>
      </c>
      <c r="G329" s="18" t="s">
        <v>280</v>
      </c>
    </row>
    <row r="330" spans="1:7" ht="16.5" customHeight="1">
      <c r="A330" s="2">
        <v>39484</v>
      </c>
      <c r="B330" s="3">
        <v>105723</v>
      </c>
      <c r="C330" s="3">
        <v>281287</v>
      </c>
      <c r="D330" s="3">
        <v>175563</v>
      </c>
      <c r="E330" s="18" t="s">
        <v>280</v>
      </c>
      <c r="F330" s="18" t="s">
        <v>280</v>
      </c>
      <c r="G330" s="18" t="s">
        <v>280</v>
      </c>
    </row>
    <row r="331" spans="1:7" ht="16.5" customHeight="1">
      <c r="A331" s="2">
        <v>39513</v>
      </c>
      <c r="B331" s="3">
        <v>178816</v>
      </c>
      <c r="C331" s="3">
        <v>227028</v>
      </c>
      <c r="D331" s="3">
        <v>48212</v>
      </c>
      <c r="E331" s="18" t="s">
        <v>280</v>
      </c>
      <c r="F331" s="18" t="s">
        <v>280</v>
      </c>
      <c r="G331" s="18" t="s">
        <v>280</v>
      </c>
    </row>
    <row r="332" spans="1:7" ht="16.5" customHeight="1">
      <c r="A332" s="2">
        <v>39544</v>
      </c>
      <c r="B332" s="3">
        <v>403751</v>
      </c>
      <c r="C332" s="3">
        <v>244469</v>
      </c>
      <c r="D332" s="3">
        <v>-159282</v>
      </c>
      <c r="E332" s="18" t="s">
        <v>280</v>
      </c>
      <c r="F332" s="18" t="s">
        <v>280</v>
      </c>
      <c r="G332" s="18" t="s">
        <v>280</v>
      </c>
    </row>
    <row r="333" spans="1:7" ht="16.5" customHeight="1">
      <c r="A333" s="2">
        <v>39576</v>
      </c>
      <c r="B333" s="3">
        <v>124272</v>
      </c>
      <c r="C333" s="3">
        <v>290199</v>
      </c>
      <c r="D333" s="3">
        <v>165927</v>
      </c>
      <c r="E333" s="18" t="s">
        <v>280</v>
      </c>
      <c r="F333" s="18" t="s">
        <v>280</v>
      </c>
      <c r="G333" s="18" t="s">
        <v>280</v>
      </c>
    </row>
    <row r="334" spans="1:7" ht="16.5" customHeight="1">
      <c r="A334" s="2">
        <v>39607</v>
      </c>
      <c r="B334" s="3">
        <v>259912</v>
      </c>
      <c r="C334" s="8" t="s">
        <v>136</v>
      </c>
      <c r="D334" s="8" t="s">
        <v>137</v>
      </c>
      <c r="E334" s="18" t="s">
        <v>280</v>
      </c>
      <c r="F334" s="18" t="s">
        <v>280</v>
      </c>
      <c r="G334" s="18" t="s">
        <v>280</v>
      </c>
    </row>
    <row r="335" spans="1:7" ht="16.5" customHeight="1">
      <c r="A335" s="2">
        <v>39637</v>
      </c>
      <c r="B335" s="3">
        <v>160494</v>
      </c>
      <c r="C335" s="3">
        <v>263261</v>
      </c>
      <c r="D335" s="3">
        <v>102767</v>
      </c>
      <c r="E335" s="18" t="s">
        <v>280</v>
      </c>
      <c r="F335" s="18" t="s">
        <v>280</v>
      </c>
      <c r="G335" s="18" t="s">
        <v>280</v>
      </c>
    </row>
    <row r="336" spans="1:7" ht="16.5" customHeight="1">
      <c r="A336" s="2">
        <v>39668</v>
      </c>
      <c r="B336" s="3">
        <v>157016</v>
      </c>
      <c r="C336" s="3">
        <v>268930</v>
      </c>
      <c r="D336" s="3">
        <v>111914</v>
      </c>
      <c r="E336" s="18" t="s">
        <v>280</v>
      </c>
      <c r="F336" s="18" t="s">
        <v>280</v>
      </c>
      <c r="G336" s="18" t="s">
        <v>280</v>
      </c>
    </row>
    <row r="337" spans="1:7" ht="16.5" customHeight="1">
      <c r="A337" s="2">
        <v>39699</v>
      </c>
      <c r="B337" s="8" t="s">
        <v>138</v>
      </c>
      <c r="C337" s="8" t="s">
        <v>139</v>
      </c>
      <c r="D337" s="8" t="s">
        <v>140</v>
      </c>
      <c r="E337" s="18" t="s">
        <v>280</v>
      </c>
      <c r="F337" s="18" t="s">
        <v>280</v>
      </c>
      <c r="G337" s="18" t="s">
        <v>280</v>
      </c>
    </row>
    <row r="338" spans="1:7" ht="16.5" customHeight="1">
      <c r="A338" s="2">
        <v>39729</v>
      </c>
      <c r="B338" s="8" t="s">
        <v>220</v>
      </c>
      <c r="C338" s="8" t="s">
        <v>192</v>
      </c>
      <c r="D338" s="8" t="s">
        <v>221</v>
      </c>
      <c r="E338" s="18" t="s">
        <v>280</v>
      </c>
      <c r="F338" s="18" t="s">
        <v>280</v>
      </c>
      <c r="G338" s="18" t="s">
        <v>280</v>
      </c>
    </row>
    <row r="339" spans="1:7" ht="16.5" customHeight="1">
      <c r="A339" s="2">
        <v>39760</v>
      </c>
      <c r="B339" s="8" t="s">
        <v>193</v>
      </c>
      <c r="C339" s="8" t="s">
        <v>194</v>
      </c>
      <c r="D339" s="8" t="s">
        <v>141</v>
      </c>
      <c r="E339" s="18" t="s">
        <v>280</v>
      </c>
      <c r="F339" s="18" t="s">
        <v>280</v>
      </c>
      <c r="G339" s="18" t="s">
        <v>280</v>
      </c>
    </row>
    <row r="340" spans="1:7" ht="16.5" customHeight="1">
      <c r="A340" s="2">
        <v>39790</v>
      </c>
      <c r="B340" s="8" t="s">
        <v>195</v>
      </c>
      <c r="C340" s="8" t="s">
        <v>196</v>
      </c>
      <c r="D340" s="8" t="s">
        <v>142</v>
      </c>
      <c r="E340" s="18" t="s">
        <v>280</v>
      </c>
      <c r="F340" s="18" t="s">
        <v>280</v>
      </c>
      <c r="G340" s="18" t="s">
        <v>280</v>
      </c>
    </row>
    <row r="341" spans="1:7" ht="16.5" customHeight="1">
      <c r="A341" s="2">
        <v>39821</v>
      </c>
      <c r="B341" s="8" t="s">
        <v>198</v>
      </c>
      <c r="C341" s="8" t="s">
        <v>197</v>
      </c>
      <c r="D341" s="8" t="s">
        <v>143</v>
      </c>
      <c r="E341" s="18" t="s">
        <v>280</v>
      </c>
      <c r="F341" s="18" t="s">
        <v>280</v>
      </c>
      <c r="G341" s="18" t="s">
        <v>280</v>
      </c>
    </row>
    <row r="342" spans="1:7" ht="16.5" customHeight="1">
      <c r="A342" s="2">
        <v>39852</v>
      </c>
      <c r="B342" s="8" t="s">
        <v>199</v>
      </c>
      <c r="C342" s="8" t="s">
        <v>200</v>
      </c>
      <c r="D342" s="8" t="s">
        <v>144</v>
      </c>
      <c r="E342" s="18" t="s">
        <v>280</v>
      </c>
      <c r="F342" s="18" t="s">
        <v>280</v>
      </c>
      <c r="G342" s="18" t="s">
        <v>280</v>
      </c>
    </row>
    <row r="343" spans="1:7" ht="16.5" customHeight="1">
      <c r="A343" s="2">
        <v>39880</v>
      </c>
      <c r="B343" s="8" t="s">
        <v>201</v>
      </c>
      <c r="C343" s="8" t="s">
        <v>202</v>
      </c>
      <c r="D343" s="8" t="s">
        <v>145</v>
      </c>
      <c r="E343" s="18" t="s">
        <v>280</v>
      </c>
      <c r="F343" s="18" t="s">
        <v>280</v>
      </c>
      <c r="G343" s="18" t="s">
        <v>280</v>
      </c>
    </row>
    <row r="344" spans="1:7" ht="16.5" customHeight="1">
      <c r="A344" s="2">
        <v>39911</v>
      </c>
      <c r="B344" s="8" t="s">
        <v>203</v>
      </c>
      <c r="C344" s="8" t="s">
        <v>204</v>
      </c>
      <c r="D344" s="8" t="s">
        <v>146</v>
      </c>
      <c r="E344" s="18" t="s">
        <v>280</v>
      </c>
      <c r="F344" s="18" t="s">
        <v>280</v>
      </c>
      <c r="G344" s="18" t="s">
        <v>280</v>
      </c>
    </row>
    <row r="345" spans="1:7" ht="16.5" customHeight="1">
      <c r="A345" s="2">
        <v>39941</v>
      </c>
      <c r="B345" s="8" t="s">
        <v>205</v>
      </c>
      <c r="C345" s="8" t="s">
        <v>206</v>
      </c>
      <c r="D345" s="8" t="s">
        <v>147</v>
      </c>
      <c r="E345" s="18" t="s">
        <v>280</v>
      </c>
      <c r="F345" s="18" t="s">
        <v>280</v>
      </c>
      <c r="G345" s="18" t="s">
        <v>280</v>
      </c>
    </row>
    <row r="346" spans="1:7" ht="16.5" customHeight="1">
      <c r="A346" s="2">
        <v>39972</v>
      </c>
      <c r="B346" s="8" t="s">
        <v>207</v>
      </c>
      <c r="C346" s="8" t="s">
        <v>208</v>
      </c>
      <c r="D346" s="8" t="s">
        <v>148</v>
      </c>
      <c r="E346" s="18" t="s">
        <v>280</v>
      </c>
      <c r="F346" s="18" t="s">
        <v>280</v>
      </c>
      <c r="G346" s="18" t="s">
        <v>280</v>
      </c>
    </row>
    <row r="347" spans="1:7" ht="16.5" customHeight="1">
      <c r="A347" s="2">
        <v>40003</v>
      </c>
      <c r="B347" s="8" t="s">
        <v>209</v>
      </c>
      <c r="C347" s="8" t="s">
        <v>210</v>
      </c>
      <c r="D347" s="8" t="s">
        <v>149</v>
      </c>
      <c r="E347" s="18" t="s">
        <v>280</v>
      </c>
      <c r="F347" s="18" t="s">
        <v>280</v>
      </c>
      <c r="G347" s="18" t="s">
        <v>280</v>
      </c>
    </row>
    <row r="348" spans="1:7" ht="16.5" customHeight="1">
      <c r="A348" s="2">
        <v>40034</v>
      </c>
      <c r="B348" s="8" t="s">
        <v>211</v>
      </c>
      <c r="C348" s="8" t="s">
        <v>212</v>
      </c>
      <c r="D348" s="8" t="s">
        <v>150</v>
      </c>
      <c r="E348" s="18" t="s">
        <v>280</v>
      </c>
      <c r="F348" s="18" t="s">
        <v>280</v>
      </c>
      <c r="G348" s="18" t="s">
        <v>280</v>
      </c>
    </row>
    <row r="349" spans="1:7" ht="16.5" customHeight="1">
      <c r="A349" s="2">
        <v>40065</v>
      </c>
      <c r="B349" s="8" t="s">
        <v>213</v>
      </c>
      <c r="C349" s="8" t="s">
        <v>214</v>
      </c>
      <c r="D349" s="8" t="s">
        <v>215</v>
      </c>
      <c r="E349" s="18" t="s">
        <v>280</v>
      </c>
      <c r="F349" s="18" t="s">
        <v>280</v>
      </c>
      <c r="G349" s="18" t="s">
        <v>280</v>
      </c>
    </row>
    <row r="350" spans="1:7" ht="16.5" customHeight="1">
      <c r="A350" s="2">
        <v>40095</v>
      </c>
      <c r="B350" s="10" t="s">
        <v>227</v>
      </c>
      <c r="C350" s="10" t="s">
        <v>232</v>
      </c>
      <c r="D350" s="10" t="s">
        <v>216</v>
      </c>
      <c r="E350" s="18" t="s">
        <v>280</v>
      </c>
      <c r="F350" s="18" t="s">
        <v>280</v>
      </c>
      <c r="G350" s="18" t="s">
        <v>280</v>
      </c>
    </row>
    <row r="351" spans="1:7" ht="16.5" customHeight="1">
      <c r="A351" s="2">
        <v>40126</v>
      </c>
      <c r="B351" s="10" t="s">
        <v>228</v>
      </c>
      <c r="C351" s="10" t="s">
        <v>233</v>
      </c>
      <c r="D351" s="10" t="s">
        <v>217</v>
      </c>
      <c r="E351" s="18" t="s">
        <v>280</v>
      </c>
      <c r="F351" s="18" t="s">
        <v>280</v>
      </c>
      <c r="G351" s="18" t="s">
        <v>280</v>
      </c>
    </row>
    <row r="352" spans="1:7" ht="16.5" customHeight="1">
      <c r="A352" s="2">
        <v>40156</v>
      </c>
      <c r="B352" s="3">
        <v>218919</v>
      </c>
      <c r="C352" s="10" t="s">
        <v>234</v>
      </c>
      <c r="D352" s="10" t="s">
        <v>218</v>
      </c>
      <c r="E352" s="18" t="s">
        <v>280</v>
      </c>
      <c r="F352" s="18" t="s">
        <v>280</v>
      </c>
      <c r="G352" s="18" t="s">
        <v>280</v>
      </c>
    </row>
    <row r="353" spans="1:10" ht="16.5" customHeight="1">
      <c r="A353" s="2">
        <v>40187</v>
      </c>
      <c r="B353" s="10" t="s">
        <v>229</v>
      </c>
      <c r="C353" s="10" t="s">
        <v>235</v>
      </c>
      <c r="D353" s="3">
        <v>42634</v>
      </c>
      <c r="E353" s="16">
        <v>-51924</v>
      </c>
      <c r="F353" s="16">
        <v>102085</v>
      </c>
      <c r="G353" s="16">
        <v>-7527</v>
      </c>
      <c r="H353" s="15"/>
      <c r="I353" s="15"/>
      <c r="J353" s="15"/>
    </row>
    <row r="354" spans="1:10" ht="16.5" customHeight="1">
      <c r="A354" s="2">
        <v>40218</v>
      </c>
      <c r="B354" s="3">
        <v>107520</v>
      </c>
      <c r="C354" s="3">
        <v>328429</v>
      </c>
      <c r="D354" s="3">
        <v>220909</v>
      </c>
      <c r="E354" s="16">
        <v>176731</v>
      </c>
      <c r="F354" s="16">
        <v>49722</v>
      </c>
      <c r="G354" s="16">
        <v>-5544</v>
      </c>
      <c r="H354" s="15"/>
      <c r="I354" s="15"/>
      <c r="J354" s="15"/>
    </row>
    <row r="355" spans="1:10" ht="16.5" customHeight="1">
      <c r="A355" s="2">
        <v>40246</v>
      </c>
      <c r="B355" s="3">
        <v>153358</v>
      </c>
      <c r="C355" s="3">
        <v>218745</v>
      </c>
      <c r="D355" s="3">
        <v>65387</v>
      </c>
      <c r="E355" s="16">
        <v>352933</v>
      </c>
      <c r="F355" s="16">
        <v>-176714</v>
      </c>
      <c r="G355" s="16">
        <v>-110832</v>
      </c>
      <c r="H355" s="15"/>
      <c r="I355" s="15"/>
      <c r="J355" s="15"/>
    </row>
    <row r="356" spans="1:10" ht="16.5" customHeight="1">
      <c r="A356" s="2">
        <v>40277</v>
      </c>
      <c r="B356" s="10" t="s">
        <v>230</v>
      </c>
      <c r="C356" s="10" t="s">
        <v>236</v>
      </c>
      <c r="D356" s="3">
        <v>82689</v>
      </c>
      <c r="E356" s="16">
        <v>143469</v>
      </c>
      <c r="F356" s="16">
        <v>-81729</v>
      </c>
      <c r="G356" s="16">
        <v>20950</v>
      </c>
      <c r="H356" s="15"/>
      <c r="I356" s="15"/>
      <c r="J356" s="15"/>
    </row>
    <row r="357" spans="1:10" ht="16.5" customHeight="1">
      <c r="A357" s="2">
        <v>40307</v>
      </c>
      <c r="B357" s="10" t="s">
        <v>231</v>
      </c>
      <c r="C357" s="10" t="s">
        <v>237</v>
      </c>
      <c r="D357" s="3">
        <v>135927</v>
      </c>
      <c r="E357" s="16">
        <v>60088</v>
      </c>
      <c r="F357" s="16">
        <v>78369</v>
      </c>
      <c r="G357" s="16">
        <v>-2530</v>
      </c>
      <c r="H357" s="15"/>
      <c r="I357" s="15"/>
      <c r="J357" s="15"/>
    </row>
    <row r="358" spans="1:10" ht="16.5" customHeight="1">
      <c r="A358" s="2">
        <v>40338</v>
      </c>
      <c r="B358" s="3">
        <v>251048</v>
      </c>
      <c r="C358" s="3">
        <v>319470</v>
      </c>
      <c r="D358" s="3">
        <v>68422</v>
      </c>
      <c r="E358" s="16">
        <v>140932</v>
      </c>
      <c r="F358" s="16">
        <v>-67685</v>
      </c>
      <c r="G358" s="16">
        <v>-4824</v>
      </c>
      <c r="H358" s="15"/>
      <c r="I358" s="15"/>
      <c r="J358" s="15"/>
    </row>
    <row r="359" spans="1:10" ht="16.5" customHeight="1">
      <c r="A359" s="2">
        <v>40368</v>
      </c>
      <c r="B359" s="3">
        <v>155546</v>
      </c>
      <c r="C359" s="3">
        <v>320588</v>
      </c>
      <c r="D359" s="3">
        <v>165043</v>
      </c>
      <c r="E359" s="16">
        <v>69753</v>
      </c>
      <c r="F359" s="16">
        <v>86335</v>
      </c>
      <c r="G359" s="16">
        <v>8955</v>
      </c>
      <c r="H359" s="15"/>
      <c r="I359" s="15"/>
      <c r="J359" s="15"/>
    </row>
    <row r="360" spans="1:10" ht="16.5" customHeight="1">
      <c r="A360" s="2">
        <v>40399</v>
      </c>
      <c r="B360" s="3">
        <v>163998</v>
      </c>
      <c r="C360" s="3">
        <v>254524</v>
      </c>
      <c r="D360" s="3">
        <v>90526</v>
      </c>
      <c r="E360" s="16">
        <v>222985</v>
      </c>
      <c r="F360" s="16">
        <v>-74254</v>
      </c>
      <c r="G360" s="16">
        <v>-58205</v>
      </c>
      <c r="H360" s="15"/>
      <c r="I360" s="15"/>
      <c r="J360" s="15"/>
    </row>
    <row r="361" spans="1:10" ht="16.5" customHeight="1">
      <c r="A361" s="2">
        <v>40430</v>
      </c>
      <c r="B361" s="10" t="s">
        <v>222</v>
      </c>
      <c r="C361" s="10" t="s">
        <v>238</v>
      </c>
      <c r="D361" s="10" t="s">
        <v>239</v>
      </c>
      <c r="E361" s="16">
        <v>97373</v>
      </c>
      <c r="F361" s="16">
        <v>-32366</v>
      </c>
      <c r="G361" s="16">
        <v>-30514</v>
      </c>
      <c r="H361" s="15"/>
      <c r="I361" s="15"/>
      <c r="J361" s="15"/>
    </row>
    <row r="362" spans="1:10" ht="16.5" customHeight="1">
      <c r="A362" s="2">
        <v>40460</v>
      </c>
      <c r="B362" s="3">
        <v>145951</v>
      </c>
      <c r="C362" s="3">
        <v>286384</v>
      </c>
      <c r="D362" s="3">
        <v>140432</v>
      </c>
      <c r="E362" s="16">
        <v>47790</v>
      </c>
      <c r="F362" s="16">
        <v>83658</v>
      </c>
      <c r="G362" s="16">
        <v>8984</v>
      </c>
      <c r="H362" s="14"/>
      <c r="I362" s="15"/>
      <c r="J362" s="15"/>
    </row>
    <row r="363" spans="1:10" ht="16.5" customHeight="1">
      <c r="A363" s="2">
        <v>40491</v>
      </c>
      <c r="B363" s="10" t="s">
        <v>223</v>
      </c>
      <c r="C363" s="10" t="s">
        <v>224</v>
      </c>
      <c r="D363" s="3">
        <v>150394</v>
      </c>
      <c r="E363" s="16">
        <v>205633</v>
      </c>
      <c r="F363" s="16">
        <v>-55202</v>
      </c>
      <c r="G363" s="17">
        <v>-37</v>
      </c>
      <c r="H363" s="14"/>
      <c r="I363" s="15"/>
      <c r="J363" s="15"/>
    </row>
    <row r="364" spans="1:10" ht="16.5" customHeight="1">
      <c r="A364" s="2">
        <v>40521</v>
      </c>
      <c r="B364" s="3">
        <v>236875</v>
      </c>
      <c r="C364" s="10" t="s">
        <v>225</v>
      </c>
      <c r="D364" s="10" t="s">
        <v>226</v>
      </c>
      <c r="E364" s="16">
        <v>114463</v>
      </c>
      <c r="F364" s="16">
        <v>-61351</v>
      </c>
      <c r="G364" s="16">
        <v>26884</v>
      </c>
      <c r="H364" s="14"/>
      <c r="I364" s="15"/>
      <c r="J364" s="15"/>
    </row>
    <row r="365" spans="1:10" ht="16.5" customHeight="1">
      <c r="A365" s="2">
        <v>40552</v>
      </c>
      <c r="B365" s="10" t="s">
        <v>241</v>
      </c>
      <c r="C365" s="10" t="s">
        <v>240</v>
      </c>
      <c r="D365" s="3">
        <v>49796</v>
      </c>
      <c r="E365" s="16">
        <v>93358</v>
      </c>
      <c r="F365" s="16">
        <v>-6412</v>
      </c>
      <c r="G365" s="16">
        <v>-37150</v>
      </c>
      <c r="H365" s="14"/>
      <c r="I365" s="15"/>
      <c r="J365" s="15"/>
    </row>
    <row r="366" spans="1:10" ht="16.5" customHeight="1">
      <c r="A366" s="2">
        <v>40583</v>
      </c>
      <c r="B366" s="3">
        <v>110656</v>
      </c>
      <c r="C366" s="10" t="s">
        <v>245</v>
      </c>
      <c r="D366" s="10" t="s">
        <v>244</v>
      </c>
      <c r="E366" s="16">
        <v>80031</v>
      </c>
      <c r="F366" s="16">
        <v>158527</v>
      </c>
      <c r="G366" s="16">
        <v>-16058</v>
      </c>
      <c r="H366" s="14"/>
      <c r="I366" s="15"/>
      <c r="J366" s="15"/>
    </row>
    <row r="367" spans="1:10" ht="16.5" customHeight="1">
      <c r="A367" s="2">
        <v>40611</v>
      </c>
      <c r="B367" s="3">
        <v>150894</v>
      </c>
      <c r="C367" s="10" t="s">
        <v>250</v>
      </c>
      <c r="D367" s="10" t="s">
        <v>251</v>
      </c>
      <c r="E367" s="16">
        <v>86821</v>
      </c>
      <c r="F367" s="16">
        <v>72557</v>
      </c>
      <c r="G367" s="16">
        <v>28775</v>
      </c>
      <c r="H367" s="14"/>
      <c r="I367" s="15"/>
      <c r="J367" s="15"/>
    </row>
    <row r="368" spans="1:10" ht="16.5" customHeight="1">
      <c r="A368" s="2">
        <v>40642</v>
      </c>
      <c r="B368" s="3">
        <v>289543</v>
      </c>
      <c r="C368" s="10" t="s">
        <v>243</v>
      </c>
      <c r="D368" s="10" t="s">
        <v>242</v>
      </c>
      <c r="E368" s="16">
        <v>4610</v>
      </c>
      <c r="F368" s="16">
        <v>11596</v>
      </c>
      <c r="G368" s="16">
        <v>24282</v>
      </c>
      <c r="H368" s="14"/>
      <c r="I368" s="15"/>
      <c r="J368" s="15"/>
    </row>
    <row r="369" spans="1:10" ht="16.5" customHeight="1">
      <c r="A369" s="2">
        <v>40672</v>
      </c>
      <c r="B369" s="10" t="s">
        <v>247</v>
      </c>
      <c r="C369" s="10" t="s">
        <v>246</v>
      </c>
      <c r="D369" s="3">
        <v>57641</v>
      </c>
      <c r="E369" s="16">
        <v>68143</v>
      </c>
      <c r="F369" s="16">
        <v>-13159</v>
      </c>
      <c r="G369" s="16">
        <v>2657</v>
      </c>
      <c r="H369" s="14"/>
      <c r="I369" s="15"/>
      <c r="J369" s="15"/>
    </row>
    <row r="370" spans="1:10" ht="16.5" customHeight="1">
      <c r="A370" s="2">
        <v>40703</v>
      </c>
      <c r="B370" s="3">
        <v>249658</v>
      </c>
      <c r="C370" s="3">
        <v>292738</v>
      </c>
      <c r="D370" s="3">
        <v>43080</v>
      </c>
      <c r="E370" s="16">
        <v>19948</v>
      </c>
      <c r="F370" s="16">
        <v>-17365</v>
      </c>
      <c r="G370" s="16">
        <v>40497</v>
      </c>
      <c r="H370" s="14"/>
      <c r="I370" s="15"/>
      <c r="J370" s="15"/>
    </row>
    <row r="371" spans="1:10" ht="16.5" customHeight="1">
      <c r="A371" s="2">
        <v>40733</v>
      </c>
      <c r="B371" s="3">
        <v>159063</v>
      </c>
      <c r="C371" s="3">
        <v>288439</v>
      </c>
      <c r="D371" s="3">
        <v>129376</v>
      </c>
      <c r="E371" s="16">
        <v>15877</v>
      </c>
      <c r="F371" s="16">
        <v>69808</v>
      </c>
      <c r="G371" s="16">
        <v>43691</v>
      </c>
      <c r="H371" s="14"/>
      <c r="I371" s="15"/>
      <c r="J371" s="15"/>
    </row>
    <row r="372" spans="1:10" ht="16.5" customHeight="1">
      <c r="A372" s="2">
        <v>40764</v>
      </c>
      <c r="B372" s="10" t="s">
        <v>248</v>
      </c>
      <c r="C372" s="10" t="s">
        <v>249</v>
      </c>
      <c r="D372" s="3">
        <v>134143</v>
      </c>
      <c r="E372" s="16">
        <v>268934</v>
      </c>
      <c r="F372" s="16">
        <v>22687</v>
      </c>
      <c r="G372" s="16">
        <v>-157469</v>
      </c>
      <c r="H372" s="14"/>
      <c r="I372" s="15"/>
      <c r="J372" s="15"/>
    </row>
    <row r="373" spans="1:10" ht="16.5" customHeight="1">
      <c r="A373" s="2">
        <v>40795</v>
      </c>
      <c r="B373" s="3">
        <v>240153</v>
      </c>
      <c r="C373" s="10" t="s">
        <v>252</v>
      </c>
      <c r="D373" s="10" t="s">
        <v>253</v>
      </c>
      <c r="E373" s="16">
        <v>104251</v>
      </c>
      <c r="F373" s="16">
        <v>-13601</v>
      </c>
      <c r="G373" s="16">
        <v>-26080</v>
      </c>
      <c r="H373" s="14"/>
      <c r="I373" s="15"/>
      <c r="J373" s="15"/>
    </row>
    <row r="374" spans="1:10" ht="16.5" customHeight="1">
      <c r="A374" s="2">
        <v>40825</v>
      </c>
      <c r="B374" s="3">
        <v>163072</v>
      </c>
      <c r="C374" s="3">
        <v>261539</v>
      </c>
      <c r="D374" s="3">
        <v>98466</v>
      </c>
      <c r="E374" s="16">
        <v>132149</v>
      </c>
      <c r="F374" s="16">
        <v>-41156</v>
      </c>
      <c r="G374" s="16">
        <v>7473</v>
      </c>
      <c r="H374" s="14"/>
      <c r="I374" s="15"/>
      <c r="J374" s="15"/>
    </row>
    <row r="375" spans="1:10" ht="16.5" customHeight="1">
      <c r="A375" s="2">
        <v>40856</v>
      </c>
      <c r="B375" s="3">
        <v>152402</v>
      </c>
      <c r="C375" s="3">
        <v>289704</v>
      </c>
      <c r="D375" s="3">
        <v>137302</v>
      </c>
      <c r="E375" s="16">
        <v>134758</v>
      </c>
      <c r="F375" s="16">
        <v>11641</v>
      </c>
      <c r="G375" s="16">
        <v>-9097</v>
      </c>
      <c r="H375" s="14"/>
      <c r="I375" s="15"/>
      <c r="J375" s="15"/>
    </row>
    <row r="376" spans="1:10" ht="16.5" customHeight="1">
      <c r="A376" s="2">
        <v>40886</v>
      </c>
      <c r="B376" s="3">
        <v>239963</v>
      </c>
      <c r="C376" s="3">
        <v>325930</v>
      </c>
      <c r="D376" s="3">
        <v>85967</v>
      </c>
      <c r="E376" s="16">
        <v>59058</v>
      </c>
      <c r="F376" s="16">
        <v>1868</v>
      </c>
      <c r="G376" s="16">
        <v>25041</v>
      </c>
      <c r="H376" s="14"/>
      <c r="I376" s="15"/>
      <c r="J376" s="15"/>
    </row>
    <row r="377" spans="1:10" ht="16.5" customHeight="1">
      <c r="A377" s="2">
        <v>40917</v>
      </c>
      <c r="B377" s="3">
        <v>234319</v>
      </c>
      <c r="C377" s="10" t="s">
        <v>258</v>
      </c>
      <c r="D377" s="10" t="s">
        <v>259</v>
      </c>
      <c r="E377" s="16">
        <v>124724</v>
      </c>
      <c r="F377" s="16">
        <v>-72859</v>
      </c>
      <c r="G377" s="16">
        <v>-24453</v>
      </c>
      <c r="H377" s="14"/>
      <c r="I377" s="15"/>
      <c r="J377" s="15"/>
    </row>
    <row r="378" spans="1:10" ht="16.5" customHeight="1">
      <c r="A378" s="2">
        <v>40948</v>
      </c>
      <c r="B378" s="3">
        <v>103413</v>
      </c>
      <c r="C378" s="10" t="s">
        <v>256</v>
      </c>
      <c r="D378" s="10" t="s">
        <v>257</v>
      </c>
      <c r="E378" s="16">
        <v>150351</v>
      </c>
      <c r="F378" s="16">
        <v>96053</v>
      </c>
      <c r="G378" s="16">
        <v>-14722</v>
      </c>
      <c r="H378" s="14"/>
      <c r="I378" s="15"/>
      <c r="J378" s="15"/>
    </row>
    <row r="379" spans="1:10" ht="16.5" customHeight="1">
      <c r="A379" s="2">
        <v>40977</v>
      </c>
      <c r="B379" s="3">
        <v>171215</v>
      </c>
      <c r="C379" s="10" t="s">
        <v>255</v>
      </c>
      <c r="D379" s="10" t="s">
        <v>254</v>
      </c>
      <c r="E379" s="16">
        <v>123237</v>
      </c>
      <c r="F379" s="16">
        <v>19062</v>
      </c>
      <c r="G379" s="16">
        <v>55858</v>
      </c>
      <c r="H379" s="14"/>
      <c r="I379" s="15"/>
      <c r="J379" s="15"/>
    </row>
    <row r="380" spans="1:10" ht="16.5" customHeight="1">
      <c r="A380" s="2">
        <v>41008</v>
      </c>
      <c r="B380" s="3">
        <v>318807</v>
      </c>
      <c r="C380" s="3">
        <v>259690</v>
      </c>
      <c r="D380" s="3">
        <v>-59117</v>
      </c>
      <c r="E380" s="16">
        <v>70178</v>
      </c>
      <c r="F380" s="16">
        <v>-123139</v>
      </c>
      <c r="G380" s="16">
        <v>-6156</v>
      </c>
      <c r="H380" s="14"/>
      <c r="I380" s="15"/>
      <c r="J380" s="15"/>
    </row>
    <row r="381" spans="1:10" ht="16.5" customHeight="1">
      <c r="A381" s="2">
        <v>41038</v>
      </c>
      <c r="B381" s="3">
        <v>180713</v>
      </c>
      <c r="C381" s="3">
        <v>305348</v>
      </c>
      <c r="D381" s="3">
        <v>124636</v>
      </c>
      <c r="E381" s="16">
        <v>89621</v>
      </c>
      <c r="F381" s="16">
        <v>54251</v>
      </c>
      <c r="G381" s="16">
        <v>-19236</v>
      </c>
      <c r="H381" s="14"/>
      <c r="I381" s="15"/>
      <c r="J381" s="15"/>
    </row>
    <row r="382" spans="1:10" ht="16.5" customHeight="1">
      <c r="A382" s="2">
        <v>41069</v>
      </c>
      <c r="B382" s="3">
        <v>260177</v>
      </c>
      <c r="C382" s="3">
        <v>319919</v>
      </c>
      <c r="D382" s="3">
        <v>59741</v>
      </c>
      <c r="E382" s="16">
        <v>38400</v>
      </c>
      <c r="F382" s="16">
        <v>20949</v>
      </c>
      <c r="G382" s="17">
        <v>391</v>
      </c>
      <c r="H382" s="14"/>
      <c r="I382" s="15"/>
      <c r="J382" s="15"/>
    </row>
    <row r="383" spans="1:10" ht="16.5" customHeight="1">
      <c r="A383" s="2">
        <v>41099</v>
      </c>
      <c r="B383" s="3">
        <v>184585</v>
      </c>
      <c r="C383" s="3">
        <v>254190</v>
      </c>
      <c r="D383" s="3">
        <v>69604</v>
      </c>
      <c r="E383" s="16">
        <v>80903</v>
      </c>
      <c r="F383" s="17">
        <v>935</v>
      </c>
      <c r="G383" s="16">
        <v>-12233</v>
      </c>
      <c r="H383" s="14"/>
      <c r="I383" s="15"/>
      <c r="J383" s="15"/>
    </row>
    <row r="384" spans="1:10" ht="16.5" customHeight="1">
      <c r="A384" s="2">
        <v>41130</v>
      </c>
      <c r="B384" s="3">
        <v>178860</v>
      </c>
      <c r="C384" s="3">
        <v>369393</v>
      </c>
      <c r="D384" s="3">
        <v>190533</v>
      </c>
      <c r="E384" s="16">
        <v>150747</v>
      </c>
      <c r="F384" s="16">
        <v>60364</v>
      </c>
      <c r="G384" s="16">
        <v>-20577</v>
      </c>
      <c r="H384" s="14"/>
      <c r="I384" s="15"/>
      <c r="J384" s="15"/>
    </row>
    <row r="385" spans="1:10" ht="16.5" customHeight="1">
      <c r="A385" s="2">
        <v>41161</v>
      </c>
      <c r="B385" s="3">
        <v>261566</v>
      </c>
      <c r="C385" s="3" t="s">
        <v>261</v>
      </c>
      <c r="D385" s="3" t="s">
        <v>260</v>
      </c>
      <c r="E385" s="16">
        <v>-1878</v>
      </c>
      <c r="F385" s="16">
        <v>-55325</v>
      </c>
      <c r="G385" s="16">
        <v>-17817</v>
      </c>
      <c r="H385" s="14"/>
      <c r="I385" s="15"/>
      <c r="J385" s="15"/>
    </row>
    <row r="386" spans="1:10" ht="16.5" customHeight="1">
      <c r="A386" s="2">
        <v>41191</v>
      </c>
      <c r="B386" s="3">
        <v>184316</v>
      </c>
      <c r="C386" s="3">
        <v>304311</v>
      </c>
      <c r="D386" s="3">
        <v>119995</v>
      </c>
      <c r="E386" s="16">
        <v>142335</v>
      </c>
      <c r="F386" s="16">
        <v>-14520</v>
      </c>
      <c r="G386" s="16">
        <v>-7820</v>
      </c>
      <c r="H386" s="14"/>
      <c r="I386" s="15"/>
      <c r="J386" s="15"/>
    </row>
    <row r="387" spans="1:10" ht="16.5" customHeight="1">
      <c r="A387" s="2">
        <v>41224</v>
      </c>
      <c r="B387" s="3">
        <v>161730</v>
      </c>
      <c r="C387" s="3">
        <v>333841</v>
      </c>
      <c r="D387" s="3">
        <v>172112</v>
      </c>
      <c r="E387" s="16">
        <v>142218</v>
      </c>
      <c r="F387" s="16">
        <v>51019</v>
      </c>
      <c r="G387" s="16">
        <v>-21125</v>
      </c>
      <c r="H387" s="14"/>
      <c r="I387" s="15"/>
      <c r="J387" s="15"/>
    </row>
    <row r="388" spans="1:10" ht="16.5" customHeight="1">
      <c r="A388" s="2">
        <v>41255</v>
      </c>
      <c r="B388" s="3" t="s">
        <v>262</v>
      </c>
      <c r="C388" s="3" t="s">
        <v>267</v>
      </c>
      <c r="D388" s="3" t="s">
        <v>263</v>
      </c>
      <c r="E388" s="16">
        <v>29338</v>
      </c>
      <c r="F388" s="16">
        <v>-43774</v>
      </c>
      <c r="G388" s="16">
        <v>15627</v>
      </c>
      <c r="H388" s="14"/>
      <c r="I388" s="15"/>
      <c r="J388" s="15"/>
    </row>
    <row r="389" spans="1:10" ht="16.5" customHeight="1">
      <c r="A389" s="2">
        <v>41287</v>
      </c>
      <c r="B389" s="3">
        <v>272225</v>
      </c>
      <c r="C389" s="3" t="s">
        <v>265</v>
      </c>
      <c r="D389" s="3" t="s">
        <v>264</v>
      </c>
      <c r="E389" s="16">
        <v>-20938</v>
      </c>
      <c r="F389" s="16">
        <v>-27527</v>
      </c>
      <c r="G389" s="16">
        <v>45582</v>
      </c>
      <c r="H389" s="14"/>
      <c r="I389" s="15"/>
      <c r="J389" s="15"/>
    </row>
    <row r="390" spans="1:10" ht="16.5" customHeight="1">
      <c r="A390" s="2">
        <v>41318</v>
      </c>
      <c r="B390" s="3">
        <v>122815</v>
      </c>
      <c r="C390" s="3">
        <v>326354</v>
      </c>
      <c r="D390" s="3">
        <v>203539</v>
      </c>
      <c r="E390" s="16">
        <v>261952</v>
      </c>
      <c r="F390" s="16">
        <v>38497</v>
      </c>
      <c r="G390" s="16">
        <v>-96910</v>
      </c>
      <c r="H390" s="14"/>
      <c r="I390" s="15"/>
      <c r="J390" s="15"/>
    </row>
    <row r="391" spans="1:10" ht="16.5" customHeight="1">
      <c r="A391" s="2">
        <v>41334</v>
      </c>
      <c r="B391" s="3">
        <v>186018</v>
      </c>
      <c r="C391" s="3">
        <v>292548</v>
      </c>
      <c r="D391" s="3">
        <v>106530</v>
      </c>
      <c r="E391" s="16">
        <v>95355</v>
      </c>
      <c r="F391" s="16">
        <v>2599</v>
      </c>
      <c r="G391" s="16">
        <v>8576</v>
      </c>
      <c r="H391" s="14"/>
      <c r="I391" s="15"/>
      <c r="J391" s="15"/>
    </row>
    <row r="392" spans="1:10" ht="16.5" customHeight="1">
      <c r="A392" s="2">
        <v>41377</v>
      </c>
      <c r="B392" s="3">
        <v>406723</v>
      </c>
      <c r="C392" s="3">
        <v>293834</v>
      </c>
      <c r="D392" s="3">
        <v>-112889</v>
      </c>
      <c r="E392" s="16">
        <v>27899</v>
      </c>
      <c r="F392" s="16">
        <v>-134711</v>
      </c>
      <c r="G392" s="16">
        <v>-6077</v>
      </c>
      <c r="H392" s="14"/>
      <c r="I392" s="15"/>
      <c r="J392" s="15"/>
    </row>
    <row r="393" spans="1:10" ht="16.5" customHeight="1">
      <c r="A393" s="2">
        <v>41395</v>
      </c>
      <c r="B393" s="3">
        <v>197182</v>
      </c>
      <c r="C393" s="3">
        <v>335914</v>
      </c>
      <c r="D393" s="3">
        <v>138732</v>
      </c>
      <c r="E393" s="16">
        <v>-46263</v>
      </c>
      <c r="F393" s="16">
        <v>179182</v>
      </c>
      <c r="G393" s="16">
        <v>5814</v>
      </c>
      <c r="H393" s="14"/>
      <c r="I393" s="15"/>
      <c r="J393" s="15"/>
    </row>
    <row r="394" spans="1:10" ht="16.5" customHeight="1">
      <c r="A394" s="2">
        <v>41426</v>
      </c>
      <c r="B394" s="3">
        <v>286627</v>
      </c>
      <c r="C394" s="3">
        <v>170126</v>
      </c>
      <c r="D394" s="3">
        <v>-116501</v>
      </c>
      <c r="E394" s="16">
        <v>1107</v>
      </c>
      <c r="F394" s="16">
        <v>-100176</v>
      </c>
      <c r="G394" s="16">
        <v>-17432</v>
      </c>
      <c r="H394" s="14"/>
      <c r="I394" s="15"/>
      <c r="J394" s="15"/>
    </row>
    <row r="395" spans="1:10" ht="16.5" customHeight="1">
      <c r="A395" s="2">
        <v>41456</v>
      </c>
      <c r="B395" s="3">
        <v>200030</v>
      </c>
      <c r="C395" s="3" t="s">
        <v>268</v>
      </c>
      <c r="D395" s="3">
        <v>97597</v>
      </c>
      <c r="E395" s="16">
        <v>12220</v>
      </c>
      <c r="F395" s="16">
        <v>25165</v>
      </c>
      <c r="G395" s="16">
        <v>60210</v>
      </c>
      <c r="H395" s="14"/>
      <c r="I395" s="15"/>
      <c r="J395" s="15"/>
    </row>
    <row r="396" spans="1:10" ht="16.5" customHeight="1">
      <c r="A396" s="2">
        <v>41487</v>
      </c>
      <c r="B396" s="3">
        <v>185370</v>
      </c>
      <c r="C396" s="3" t="s">
        <v>271</v>
      </c>
      <c r="D396" s="3" t="s">
        <v>272</v>
      </c>
      <c r="E396" s="16">
        <v>49404</v>
      </c>
      <c r="F396" s="16">
        <v>83558</v>
      </c>
      <c r="G396" s="16">
        <v>14961</v>
      </c>
      <c r="H396" s="14"/>
      <c r="I396" s="15"/>
      <c r="J396" s="15"/>
    </row>
    <row r="397" spans="1:10" ht="16.5" customHeight="1">
      <c r="A397" s="2">
        <v>41518</v>
      </c>
      <c r="B397" s="3" t="s">
        <v>269</v>
      </c>
      <c r="C397" s="3" t="s">
        <v>270</v>
      </c>
      <c r="D397" s="3">
        <v>-75114</v>
      </c>
      <c r="E397" s="16">
        <v>7392</v>
      </c>
      <c r="F397" s="16">
        <v>-62251</v>
      </c>
      <c r="G397" s="16">
        <v>-20211</v>
      </c>
      <c r="H397" s="14"/>
      <c r="I397" s="15"/>
      <c r="J397" s="15"/>
    </row>
    <row r="398" spans="1:10" ht="16.5" customHeight="1">
      <c r="A398" s="2">
        <v>41548</v>
      </c>
      <c r="B398" s="3">
        <v>198927</v>
      </c>
      <c r="C398" s="3" t="s">
        <v>294</v>
      </c>
      <c r="D398" s="3" t="s">
        <v>295</v>
      </c>
      <c r="E398" s="16">
        <v>204141</v>
      </c>
      <c r="F398" s="16">
        <v>5385</v>
      </c>
      <c r="G398" s="16">
        <v>-117933</v>
      </c>
      <c r="H398" s="14"/>
      <c r="I398" s="15"/>
      <c r="J398" s="15"/>
    </row>
    <row r="399" spans="1:10" ht="16.5" customHeight="1">
      <c r="A399" s="2">
        <v>41579</v>
      </c>
      <c r="B399" s="3">
        <v>182453</v>
      </c>
      <c r="C399" s="3">
        <v>317679</v>
      </c>
      <c r="D399" s="3">
        <v>135226</v>
      </c>
      <c r="E399" s="16">
        <v>93153</v>
      </c>
      <c r="F399" s="16">
        <v>49568</v>
      </c>
      <c r="G399" s="16">
        <v>-7495</v>
      </c>
      <c r="H399" s="14"/>
      <c r="I399" s="15"/>
      <c r="J399" s="15"/>
    </row>
    <row r="400" spans="1:10" ht="16.5" customHeight="1">
      <c r="A400" s="2">
        <v>41609</v>
      </c>
      <c r="B400" s="3">
        <v>285041</v>
      </c>
      <c r="C400" s="3">
        <v>231821</v>
      </c>
      <c r="D400" s="3">
        <v>-53220</v>
      </c>
      <c r="E400" s="16">
        <v>73643</v>
      </c>
      <c r="F400" s="16">
        <v>-128966</v>
      </c>
      <c r="G400" s="16">
        <v>2102</v>
      </c>
      <c r="H400" s="14"/>
      <c r="I400" s="15"/>
      <c r="J400" s="15"/>
    </row>
    <row r="401" spans="1:10" ht="16.5" customHeight="1">
      <c r="A401" s="2">
        <v>41640</v>
      </c>
      <c r="B401" s="3">
        <v>295997</v>
      </c>
      <c r="C401" s="3" t="s">
        <v>266</v>
      </c>
      <c r="D401" s="3" t="s">
        <v>317</v>
      </c>
      <c r="E401" s="16">
        <v>-48518</v>
      </c>
      <c r="F401" s="16">
        <v>73826</v>
      </c>
      <c r="G401" s="16">
        <v>-14887</v>
      </c>
      <c r="H401" s="14"/>
      <c r="I401" s="15"/>
      <c r="J401" s="15"/>
    </row>
    <row r="402" spans="1:10" ht="16.5" customHeight="1">
      <c r="A402" s="2">
        <v>41684</v>
      </c>
      <c r="B402" s="3">
        <v>144349</v>
      </c>
      <c r="C402" s="3">
        <v>337880</v>
      </c>
      <c r="D402" s="3">
        <v>193532</v>
      </c>
      <c r="E402" s="16">
        <v>183562</v>
      </c>
      <c r="F402" s="16">
        <v>42544</v>
      </c>
      <c r="G402" s="16">
        <v>-32574</v>
      </c>
      <c r="H402" s="14"/>
      <c r="I402" s="15"/>
      <c r="J402" s="15"/>
    </row>
    <row r="403" spans="1:10" ht="16.5" customHeight="1">
      <c r="A403" s="2">
        <v>41712</v>
      </c>
      <c r="B403" s="3">
        <v>215846</v>
      </c>
      <c r="C403" s="3" t="s">
        <v>273</v>
      </c>
      <c r="D403" s="3" t="s">
        <v>274</v>
      </c>
      <c r="E403" s="16">
        <v>126952</v>
      </c>
      <c r="F403" s="16">
        <v>-96159</v>
      </c>
      <c r="G403" s="16">
        <v>6100</v>
      </c>
      <c r="H403" s="14"/>
      <c r="I403" s="15"/>
      <c r="J403" s="15"/>
    </row>
    <row r="404" spans="1:10" ht="16.5" customHeight="1">
      <c r="A404" s="2">
        <v>41743</v>
      </c>
      <c r="B404" s="3">
        <v>414237</v>
      </c>
      <c r="C404" s="3">
        <v>307383</v>
      </c>
      <c r="D404" s="3">
        <v>-106853</v>
      </c>
      <c r="E404" s="16">
        <v>-115417</v>
      </c>
      <c r="F404" s="16">
        <v>-6154</v>
      </c>
      <c r="G404" s="16">
        <v>14717</v>
      </c>
      <c r="H404" s="14"/>
      <c r="I404" s="15"/>
      <c r="J404" s="15"/>
    </row>
    <row r="405" spans="1:10" ht="16.5" customHeight="1">
      <c r="A405" s="2">
        <v>41773</v>
      </c>
      <c r="B405" s="3">
        <v>199889</v>
      </c>
      <c r="C405" s="3">
        <v>329860</v>
      </c>
      <c r="D405" s="3">
        <v>129971</v>
      </c>
      <c r="E405" s="16">
        <v>34692</v>
      </c>
      <c r="F405" s="16">
        <v>119449</v>
      </c>
      <c r="G405" s="16">
        <v>-24170</v>
      </c>
      <c r="H405" s="14"/>
      <c r="I405" s="15"/>
      <c r="J405" s="15"/>
    </row>
    <row r="406" spans="1:10" ht="16.5" customHeight="1">
      <c r="A406" s="2">
        <v>41804</v>
      </c>
      <c r="B406" s="3">
        <v>323646</v>
      </c>
      <c r="C406" s="3">
        <v>253127</v>
      </c>
      <c r="D406" s="3">
        <v>-70519</v>
      </c>
      <c r="E406" s="16">
        <v>34376</v>
      </c>
      <c r="F406" s="16">
        <v>-110406</v>
      </c>
      <c r="G406" s="16">
        <v>5511</v>
      </c>
      <c r="H406" s="14"/>
      <c r="I406" s="15"/>
      <c r="J406" s="15"/>
    </row>
    <row r="407" spans="1:10" ht="16.5" customHeight="1">
      <c r="A407" s="2">
        <v>41834</v>
      </c>
      <c r="B407" s="3">
        <v>214493</v>
      </c>
      <c r="C407" s="3" t="s">
        <v>275</v>
      </c>
      <c r="D407" s="3" t="s">
        <v>276</v>
      </c>
      <c r="E407" s="16">
        <v>79006</v>
      </c>
      <c r="F407" s="16">
        <v>12062</v>
      </c>
      <c r="G407" s="16">
        <v>3525</v>
      </c>
      <c r="H407" s="14"/>
      <c r="I407" s="15"/>
      <c r="J407" s="15"/>
    </row>
    <row r="408" spans="1:10" ht="16.5" customHeight="1">
      <c r="A408" s="2">
        <v>41865</v>
      </c>
      <c r="B408" s="3">
        <v>194248</v>
      </c>
      <c r="C408" s="3">
        <v>322925</v>
      </c>
      <c r="D408" s="3">
        <v>128677</v>
      </c>
      <c r="E408" s="16">
        <v>80884</v>
      </c>
      <c r="F408" s="16">
        <v>78573</v>
      </c>
      <c r="G408" s="16">
        <v>-30748</v>
      </c>
      <c r="H408" s="14"/>
      <c r="I408" s="15"/>
      <c r="J408" s="15"/>
    </row>
    <row r="409" spans="1:10" ht="16.5" customHeight="1">
      <c r="A409" s="2">
        <v>41896</v>
      </c>
      <c r="B409" s="3" t="s">
        <v>287</v>
      </c>
      <c r="C409" s="10" t="s">
        <v>282</v>
      </c>
      <c r="D409" s="3" t="s">
        <v>283</v>
      </c>
      <c r="E409" s="16">
        <v>51099</v>
      </c>
      <c r="F409" s="16">
        <v>-109637</v>
      </c>
      <c r="G409" s="16">
        <v>-47272</v>
      </c>
      <c r="H409" s="14"/>
      <c r="I409" s="15"/>
      <c r="J409" s="15"/>
    </row>
    <row r="410" spans="1:10" ht="16.5" customHeight="1">
      <c r="A410" s="2">
        <v>41926</v>
      </c>
      <c r="B410" s="3">
        <v>212719</v>
      </c>
      <c r="C410" s="3">
        <v>334432</v>
      </c>
      <c r="D410" s="3">
        <v>121713</v>
      </c>
      <c r="E410" s="16">
        <v>74090</v>
      </c>
      <c r="F410" s="16">
        <v>40899</v>
      </c>
      <c r="G410" s="16">
        <v>6724</v>
      </c>
      <c r="I410" s="15"/>
      <c r="J410" s="15"/>
    </row>
    <row r="411" spans="1:10" ht="16.5" customHeight="1">
      <c r="A411" s="2">
        <v>41957</v>
      </c>
      <c r="B411" s="3">
        <v>191436</v>
      </c>
      <c r="C411" s="3">
        <v>248254</v>
      </c>
      <c r="D411" s="3">
        <v>56818</v>
      </c>
      <c r="E411" s="16">
        <v>64849</v>
      </c>
      <c r="F411" s="16">
        <v>9132</v>
      </c>
      <c r="G411" s="16">
        <v>-17163</v>
      </c>
      <c r="I411" s="15"/>
      <c r="J411" s="15"/>
    </row>
    <row r="412" spans="1:10" ht="16.5" customHeight="1">
      <c r="A412" s="2">
        <v>41987</v>
      </c>
      <c r="B412" s="3">
        <v>335327</v>
      </c>
      <c r="C412" s="3" t="s">
        <v>284</v>
      </c>
      <c r="D412" s="3" t="s">
        <v>286</v>
      </c>
      <c r="E412" s="16">
        <v>101553</v>
      </c>
      <c r="F412" s="16">
        <v>-115182</v>
      </c>
      <c r="G412" s="16">
        <v>11761</v>
      </c>
      <c r="I412" s="15"/>
      <c r="J412" s="15"/>
    </row>
    <row r="413" spans="1:7" ht="16.5" customHeight="1">
      <c r="A413" s="2">
        <v>42018</v>
      </c>
      <c r="B413" s="3">
        <v>306742</v>
      </c>
      <c r="C413" s="3" t="s">
        <v>285</v>
      </c>
      <c r="D413" s="3">
        <v>14996</v>
      </c>
      <c r="E413" s="16">
        <v>-36839</v>
      </c>
      <c r="F413" s="16">
        <v>66638</v>
      </c>
      <c r="G413" s="16">
        <v>-12255</v>
      </c>
    </row>
    <row r="414" spans="1:7" ht="16.5" customHeight="1">
      <c r="A414" s="2">
        <v>42050</v>
      </c>
      <c r="B414" s="3">
        <v>139388</v>
      </c>
      <c r="C414" s="3" t="s">
        <v>302</v>
      </c>
      <c r="D414" s="3">
        <v>192359</v>
      </c>
      <c r="E414" s="16">
        <v>88293</v>
      </c>
      <c r="F414" s="16">
        <v>121885</v>
      </c>
      <c r="G414" s="16">
        <v>-17851</v>
      </c>
    </row>
    <row r="415" spans="1:7" ht="16.5" customHeight="1">
      <c r="A415" s="2">
        <v>42078</v>
      </c>
      <c r="B415" s="3">
        <v>234187</v>
      </c>
      <c r="C415" s="3">
        <v>287105</v>
      </c>
      <c r="D415" s="3">
        <v>52918</v>
      </c>
      <c r="E415" s="16">
        <v>15315</v>
      </c>
      <c r="F415" s="16">
        <v>-65155</v>
      </c>
      <c r="G415" s="16">
        <v>102758</v>
      </c>
    </row>
    <row r="416" spans="1:7" ht="16.5" customHeight="1">
      <c r="A416" s="2">
        <v>42109</v>
      </c>
      <c r="B416" s="3">
        <v>471801</v>
      </c>
      <c r="C416" s="10" t="s">
        <v>288</v>
      </c>
      <c r="D416" s="3" t="s">
        <v>289</v>
      </c>
      <c r="E416" s="16">
        <v>-36024</v>
      </c>
      <c r="F416" s="16">
        <v>-173785</v>
      </c>
      <c r="G416" s="16">
        <v>53100</v>
      </c>
    </row>
    <row r="417" spans="1:7" ht="16.5" customHeight="1">
      <c r="A417" s="2">
        <v>42139</v>
      </c>
      <c r="B417" s="3">
        <v>212386</v>
      </c>
      <c r="C417" s="10" t="s">
        <v>290</v>
      </c>
      <c r="D417" s="3" t="s">
        <v>292</v>
      </c>
      <c r="E417" s="16">
        <v>545</v>
      </c>
      <c r="F417" s="16">
        <v>74922</v>
      </c>
      <c r="G417" s="16">
        <v>8601</v>
      </c>
    </row>
    <row r="418" spans="1:7" ht="16.5" customHeight="1">
      <c r="A418" s="2">
        <v>42170</v>
      </c>
      <c r="B418" s="3">
        <v>342933</v>
      </c>
      <c r="C418" s="10" t="s">
        <v>291</v>
      </c>
      <c r="D418" s="3" t="s">
        <v>293</v>
      </c>
      <c r="E418" s="16">
        <v>20862</v>
      </c>
      <c r="F418" s="16">
        <v>-55393</v>
      </c>
      <c r="G418" s="16">
        <v>-15956</v>
      </c>
    </row>
    <row r="419" spans="1:7" ht="16.5" customHeight="1">
      <c r="A419" s="2">
        <v>42200</v>
      </c>
      <c r="B419" s="3">
        <v>225493</v>
      </c>
      <c r="C419" s="3">
        <v>374680</v>
      </c>
      <c r="D419" s="3">
        <v>149187</v>
      </c>
      <c r="E419" s="16">
        <v>58193</v>
      </c>
      <c r="F419" s="16">
        <v>44358</v>
      </c>
      <c r="G419" s="16">
        <v>46636</v>
      </c>
    </row>
    <row r="420" spans="1:7" ht="16.5" customHeight="1">
      <c r="A420" s="2">
        <v>42231</v>
      </c>
      <c r="B420" s="3">
        <v>210837</v>
      </c>
      <c r="C420" s="3" t="s">
        <v>296</v>
      </c>
      <c r="D420" s="3" t="s">
        <v>297</v>
      </c>
      <c r="E420" s="16">
        <v>-16187</v>
      </c>
      <c r="F420" s="16">
        <v>78195</v>
      </c>
      <c r="G420" s="16">
        <v>2412</v>
      </c>
    </row>
    <row r="421" spans="1:7" ht="16.5" customHeight="1">
      <c r="A421" s="2">
        <v>42262</v>
      </c>
      <c r="B421" s="21" t="s">
        <v>305</v>
      </c>
      <c r="C421" s="3" t="s">
        <v>306</v>
      </c>
      <c r="D421" s="3" t="s">
        <v>307</v>
      </c>
      <c r="E421" s="16">
        <v>2892</v>
      </c>
      <c r="F421" s="16">
        <v>-66929</v>
      </c>
      <c r="G421" s="16">
        <v>-26834</v>
      </c>
    </row>
    <row r="422" spans="1:7" ht="16.5" customHeight="1">
      <c r="A422" s="2">
        <v>42292</v>
      </c>
      <c r="B422" s="3">
        <v>211046</v>
      </c>
      <c r="C422" s="3" t="s">
        <v>298</v>
      </c>
      <c r="D422" s="3" t="s">
        <v>299</v>
      </c>
      <c r="E422" s="16">
        <v>-55989</v>
      </c>
      <c r="F422" s="16">
        <v>175824</v>
      </c>
      <c r="G422" s="16">
        <v>16714</v>
      </c>
    </row>
    <row r="423" spans="1:7" ht="16.5" customHeight="1">
      <c r="A423" s="2">
        <v>42323</v>
      </c>
      <c r="B423" s="3">
        <v>204968</v>
      </c>
      <c r="C423" s="3" t="s">
        <v>303</v>
      </c>
      <c r="D423" s="3">
        <v>64549</v>
      </c>
      <c r="E423" s="16">
        <v>524796</v>
      </c>
      <c r="F423" s="16">
        <v>-230381</v>
      </c>
      <c r="G423" s="16">
        <v>-229863</v>
      </c>
    </row>
    <row r="424" spans="1:7" ht="16.5" customHeight="1">
      <c r="A424" s="2">
        <v>42353</v>
      </c>
      <c r="B424" s="3">
        <v>349631</v>
      </c>
      <c r="C424" s="3">
        <v>364075</v>
      </c>
      <c r="D424" s="3">
        <v>14444</v>
      </c>
      <c r="E424" s="16">
        <v>83393</v>
      </c>
      <c r="F424" s="16">
        <v>-80174</v>
      </c>
      <c r="G424" s="16">
        <v>11224</v>
      </c>
    </row>
    <row r="425" spans="1:7" ht="16.5" customHeight="1">
      <c r="A425" s="2">
        <v>42385</v>
      </c>
      <c r="B425" s="3">
        <v>313579</v>
      </c>
      <c r="C425" s="3">
        <v>258416</v>
      </c>
      <c r="D425" s="3">
        <v>-55163</v>
      </c>
      <c r="E425" s="16">
        <v>-14755</v>
      </c>
      <c r="F425" s="16">
        <v>-36734</v>
      </c>
      <c r="G425" s="16">
        <v>-3674</v>
      </c>
    </row>
    <row r="426" spans="1:7" ht="16.5" customHeight="1">
      <c r="A426" s="2">
        <v>42416</v>
      </c>
      <c r="B426" s="3">
        <v>169147</v>
      </c>
      <c r="C426" s="3" t="s">
        <v>300</v>
      </c>
      <c r="D426" s="3" t="s">
        <v>301</v>
      </c>
      <c r="E426" s="16">
        <v>127058</v>
      </c>
      <c r="F426" s="16">
        <v>97823</v>
      </c>
      <c r="G426" s="16">
        <v>-32269</v>
      </c>
    </row>
    <row r="427" spans="1:7" ht="16.5" customHeight="1">
      <c r="A427" s="2">
        <v>42445</v>
      </c>
      <c r="B427" s="3">
        <v>227848</v>
      </c>
      <c r="C427" s="3">
        <v>335891</v>
      </c>
      <c r="D427" s="3">
        <v>108043</v>
      </c>
      <c r="E427" s="16">
        <v>138698</v>
      </c>
      <c r="F427" s="16">
        <v>-41476</v>
      </c>
      <c r="G427" s="16">
        <v>10820</v>
      </c>
    </row>
    <row r="428" spans="1:7" ht="16.5" customHeight="1">
      <c r="A428" s="2">
        <v>42476</v>
      </c>
      <c r="B428" s="3">
        <v>438432</v>
      </c>
      <c r="C428" s="3">
        <v>331980</v>
      </c>
      <c r="D428" s="3">
        <v>-106452</v>
      </c>
      <c r="E428" s="20">
        <v>-83706</v>
      </c>
      <c r="F428" s="20">
        <v>-25256</v>
      </c>
      <c r="G428" s="20">
        <v>2511</v>
      </c>
    </row>
    <row r="429" spans="1:7" ht="16.5" customHeight="1">
      <c r="A429" s="2">
        <v>42506</v>
      </c>
      <c r="B429" s="3">
        <v>224603</v>
      </c>
      <c r="C429" s="3">
        <v>277111</v>
      </c>
      <c r="D429" s="3">
        <v>52507</v>
      </c>
      <c r="E429" s="20">
        <v>45221</v>
      </c>
      <c r="F429" s="20">
        <v>40675</v>
      </c>
      <c r="G429" s="20">
        <v>-33388</v>
      </c>
    </row>
    <row r="430" spans="1:7" ht="16.5" customHeight="1">
      <c r="A430" s="2">
        <v>42537</v>
      </c>
      <c r="B430" s="3">
        <v>329572</v>
      </c>
      <c r="C430" s="3">
        <v>323320</v>
      </c>
      <c r="D430" s="3">
        <v>-6252</v>
      </c>
      <c r="E430" s="20">
        <v>46080</v>
      </c>
      <c r="F430" s="20">
        <v>-65245</v>
      </c>
      <c r="G430" s="20">
        <v>12913</v>
      </c>
    </row>
    <row r="431" spans="1:7" ht="16.5" customHeight="1">
      <c r="A431" s="2">
        <v>42567</v>
      </c>
      <c r="B431" s="3">
        <v>209998</v>
      </c>
      <c r="C431" s="22" t="s">
        <v>304</v>
      </c>
      <c r="D431" s="3">
        <v>112819</v>
      </c>
      <c r="E431" s="20">
        <v>66778</v>
      </c>
      <c r="F431" s="20">
        <v>29914</v>
      </c>
      <c r="G431" s="20">
        <v>16123</v>
      </c>
    </row>
    <row r="432" spans="1:7" ht="16.5" customHeight="1">
      <c r="A432" s="2">
        <v>42598</v>
      </c>
      <c r="B432" s="3">
        <v>231327</v>
      </c>
      <c r="C432" s="3">
        <v>338438</v>
      </c>
      <c r="D432" s="3">
        <v>107112</v>
      </c>
      <c r="E432" s="20">
        <v>105761</v>
      </c>
      <c r="F432" s="20">
        <v>44802</v>
      </c>
      <c r="G432" s="20">
        <v>-43452</v>
      </c>
    </row>
    <row r="433" spans="1:7" ht="16.5" customHeight="1">
      <c r="A433" s="2">
        <v>42629</v>
      </c>
      <c r="B433" s="3" t="s">
        <v>308</v>
      </c>
      <c r="C433" s="3">
        <v>323178</v>
      </c>
      <c r="D433" s="3">
        <v>-33445</v>
      </c>
      <c r="E433" s="20">
        <v>68480</v>
      </c>
      <c r="F433" s="20">
        <v>-64365</v>
      </c>
      <c r="G433" s="20">
        <v>-37474</v>
      </c>
    </row>
    <row r="434" spans="1:7" ht="16.5" customHeight="1">
      <c r="A434" s="2">
        <v>42659</v>
      </c>
      <c r="B434" s="3">
        <v>221692</v>
      </c>
      <c r="C434" s="3">
        <v>267523</v>
      </c>
      <c r="D434" s="3">
        <v>45831</v>
      </c>
      <c r="E434" s="20">
        <v>112656</v>
      </c>
      <c r="F434" s="20">
        <v>-68256</v>
      </c>
      <c r="G434" s="20">
        <v>-208</v>
      </c>
    </row>
    <row r="435" spans="1:7" ht="16.5" customHeight="1">
      <c r="A435" s="2">
        <v>42690</v>
      </c>
      <c r="B435" s="3">
        <v>199875</v>
      </c>
      <c r="C435" s="22" t="s">
        <v>309</v>
      </c>
      <c r="D435" s="22" t="s">
        <v>310</v>
      </c>
      <c r="E435" s="20">
        <v>156727</v>
      </c>
      <c r="F435" s="20">
        <v>-467</v>
      </c>
      <c r="G435" s="20">
        <v>-19609</v>
      </c>
    </row>
    <row r="436" spans="1:7" ht="16.5" customHeight="1">
      <c r="A436" s="2">
        <v>42720</v>
      </c>
      <c r="B436" s="3">
        <v>319204</v>
      </c>
      <c r="C436" s="22" t="s">
        <v>312</v>
      </c>
      <c r="D436" s="3">
        <v>27337</v>
      </c>
      <c r="E436" s="20">
        <v>-10115</v>
      </c>
      <c r="F436" s="20">
        <v>22844</v>
      </c>
      <c r="G436" s="20">
        <v>14787</v>
      </c>
    </row>
    <row r="437" spans="1:7" ht="16.5" customHeight="1">
      <c r="A437" s="2">
        <v>42752</v>
      </c>
      <c r="B437" s="3">
        <v>344069</v>
      </c>
      <c r="C437" s="3">
        <v>292812</v>
      </c>
      <c r="D437" s="3">
        <v>-51257</v>
      </c>
      <c r="E437" s="16">
        <v>-59634</v>
      </c>
      <c r="F437" s="16">
        <v>26462</v>
      </c>
      <c r="G437" s="16">
        <v>-18086</v>
      </c>
    </row>
    <row r="438" spans="1:7" ht="16.5" customHeight="1">
      <c r="A438" s="2">
        <v>42783</v>
      </c>
      <c r="B438" s="3">
        <v>171713</v>
      </c>
      <c r="C438" s="3">
        <v>363757</v>
      </c>
      <c r="D438" s="3">
        <v>192044</v>
      </c>
      <c r="E438" s="16">
        <v>34805</v>
      </c>
      <c r="F438" s="16">
        <v>183441</v>
      </c>
      <c r="G438" s="16">
        <v>-26201</v>
      </c>
    </row>
    <row r="439" spans="1:7" ht="16.5" customHeight="1">
      <c r="A439" s="2">
        <v>42811</v>
      </c>
      <c r="B439" s="3">
        <v>216584</v>
      </c>
      <c r="C439" s="3">
        <v>392816</v>
      </c>
      <c r="D439" s="3">
        <v>176233</v>
      </c>
      <c r="E439" s="16">
        <v>-43262</v>
      </c>
      <c r="F439" s="16">
        <v>97081</v>
      </c>
      <c r="G439" s="16">
        <v>122413</v>
      </c>
    </row>
    <row r="440" spans="1:7" ht="16.5" customHeight="1">
      <c r="A440" s="2">
        <v>42842</v>
      </c>
      <c r="B440" s="3">
        <v>455605</v>
      </c>
      <c r="C440" s="3">
        <v>273177</v>
      </c>
      <c r="D440" s="3">
        <v>-182428</v>
      </c>
      <c r="E440" s="16">
        <v>-76244</v>
      </c>
      <c r="F440" s="16">
        <v>-180380</v>
      </c>
      <c r="G440" s="16">
        <v>74196</v>
      </c>
    </row>
    <row r="441" spans="1:7" ht="16.5" customHeight="1">
      <c r="A441" s="2">
        <v>42872</v>
      </c>
      <c r="B441" s="3">
        <v>240418</v>
      </c>
      <c r="C441" s="3" t="s">
        <v>311</v>
      </c>
      <c r="D441" s="3">
        <v>88423</v>
      </c>
      <c r="E441" s="16">
        <v>5134</v>
      </c>
      <c r="F441" s="16">
        <v>82754</v>
      </c>
      <c r="G441" s="16">
        <v>538</v>
      </c>
    </row>
    <row r="442" spans="1:7" ht="16.5" customHeight="1">
      <c r="A442" s="2">
        <v>42903</v>
      </c>
      <c r="B442" s="3">
        <v>338660</v>
      </c>
      <c r="C442" s="3">
        <v>428894</v>
      </c>
      <c r="D442" s="3">
        <v>90233</v>
      </c>
      <c r="E442" s="16">
        <v>67452</v>
      </c>
      <c r="F442" s="16">
        <v>8714</v>
      </c>
      <c r="G442" s="16">
        <v>14067</v>
      </c>
    </row>
    <row r="443" spans="1:7" ht="16.5" customHeight="1">
      <c r="A443" s="2">
        <v>42933</v>
      </c>
      <c r="B443" s="3">
        <v>232040</v>
      </c>
      <c r="C443" s="3">
        <v>274980</v>
      </c>
      <c r="D443" s="3">
        <v>42939</v>
      </c>
      <c r="E443" s="16">
        <v>-5236</v>
      </c>
      <c r="F443" s="16">
        <v>-7906</v>
      </c>
      <c r="G443" s="16">
        <v>56082</v>
      </c>
    </row>
    <row r="444" spans="1:7" ht="16.5" customHeight="1">
      <c r="A444" s="2">
        <v>42964</v>
      </c>
      <c r="B444" s="3">
        <v>226311</v>
      </c>
      <c r="C444" s="3">
        <v>334000</v>
      </c>
      <c r="D444" s="3">
        <v>107689</v>
      </c>
      <c r="E444" s="16">
        <v>23797</v>
      </c>
      <c r="F444" s="16">
        <v>133622</v>
      </c>
      <c r="G444" s="16">
        <v>-49731</v>
      </c>
    </row>
    <row r="445" spans="1:7" ht="16.5" customHeight="1">
      <c r="A445" s="2">
        <v>42995</v>
      </c>
      <c r="B445" s="3">
        <v>348722</v>
      </c>
      <c r="C445" s="3" t="s">
        <v>313</v>
      </c>
      <c r="D445" s="3">
        <v>-7886</v>
      </c>
      <c r="E445" s="16">
        <v>292221</v>
      </c>
      <c r="F445" s="16">
        <v>-103921</v>
      </c>
      <c r="G445" s="16">
        <v>-196301</v>
      </c>
    </row>
    <row r="446" spans="1:7" ht="16.5" customHeight="1">
      <c r="A446" s="2">
        <v>43025</v>
      </c>
      <c r="B446" s="3">
        <v>235341</v>
      </c>
      <c r="C446" s="3">
        <v>298555</v>
      </c>
      <c r="D446" s="3">
        <v>63214</v>
      </c>
      <c r="E446" s="16">
        <v>77450</v>
      </c>
      <c r="F446" s="16">
        <v>-17533</v>
      </c>
      <c r="G446" s="16">
        <v>3296</v>
      </c>
    </row>
    <row r="447" spans="1:7" ht="16.5" customHeight="1">
      <c r="A447" s="2">
        <v>43056</v>
      </c>
      <c r="B447" s="3">
        <v>208374</v>
      </c>
      <c r="C447" s="3">
        <v>346922</v>
      </c>
      <c r="D447" s="3">
        <v>138547</v>
      </c>
      <c r="E447" s="16">
        <v>166318</v>
      </c>
      <c r="F447" s="16">
        <v>-6302</v>
      </c>
      <c r="G447" s="16">
        <v>-21468</v>
      </c>
    </row>
    <row r="448" spans="1:7" ht="16.5" customHeight="1">
      <c r="A448" s="2">
        <v>43086</v>
      </c>
      <c r="B448" s="3">
        <v>325797</v>
      </c>
      <c r="C448" s="3" t="s">
        <v>314</v>
      </c>
      <c r="D448" s="3">
        <v>23192</v>
      </c>
      <c r="E448" s="16">
        <v>-104313</v>
      </c>
      <c r="F448" s="16">
        <v>-45777</v>
      </c>
      <c r="G448" s="16">
        <v>173283</v>
      </c>
    </row>
    <row r="449" spans="1:7" ht="16.5" customHeight="1">
      <c r="A449" s="2">
        <v>43117</v>
      </c>
      <c r="B449" s="3">
        <v>361038</v>
      </c>
      <c r="C449" s="3" t="s">
        <v>315</v>
      </c>
      <c r="D449" s="3">
        <v>-49237</v>
      </c>
      <c r="E449" s="16">
        <v>-13375</v>
      </c>
      <c r="F449" s="16">
        <v>-46861</v>
      </c>
      <c r="G449" s="16">
        <v>11000</v>
      </c>
    </row>
    <row r="450" spans="1:7" ht="16.5" customHeight="1">
      <c r="A450" s="2">
        <v>43148</v>
      </c>
      <c r="B450" s="3">
        <v>155623</v>
      </c>
      <c r="C450" s="3" t="s">
        <v>316</v>
      </c>
      <c r="D450" s="3">
        <v>215239</v>
      </c>
      <c r="E450" s="16">
        <v>345945</v>
      </c>
      <c r="F450" s="16">
        <v>76405</v>
      </c>
      <c r="G450" s="16">
        <v>-207102</v>
      </c>
    </row>
    <row r="451" spans="1:7" ht="16.5" customHeight="1">
      <c r="A451" s="2">
        <v>43176</v>
      </c>
      <c r="B451" s="3">
        <v>210832</v>
      </c>
      <c r="C451" s="3">
        <v>419576</v>
      </c>
      <c r="D451" s="3">
        <v>208743</v>
      </c>
      <c r="E451" s="16">
        <v>276202</v>
      </c>
      <c r="F451" s="16">
        <v>-90258</v>
      </c>
      <c r="G451" s="16">
        <v>22799</v>
      </c>
    </row>
    <row r="452" spans="1:7" ht="16.5" customHeight="1">
      <c r="A452" s="2">
        <v>43207</v>
      </c>
      <c r="B452" s="3">
        <v>510447</v>
      </c>
      <c r="C452" s="3">
        <v>296192</v>
      </c>
      <c r="D452" s="3">
        <v>-214255</v>
      </c>
      <c r="E452" s="16">
        <v>-90029</v>
      </c>
      <c r="F452" s="16">
        <v>-129728</v>
      </c>
      <c r="G452" s="16">
        <v>5502</v>
      </c>
    </row>
    <row r="453" spans="1:7" ht="17.25" customHeight="1">
      <c r="A453" s="2">
        <v>43237</v>
      </c>
      <c r="B453" s="3">
        <v>217075</v>
      </c>
      <c r="C453" s="3">
        <v>363871</v>
      </c>
      <c r="D453" s="3">
        <v>146796</v>
      </c>
      <c r="E453" s="16">
        <v>93766</v>
      </c>
      <c r="F453" s="16">
        <v>64983</v>
      </c>
      <c r="G453" s="16">
        <v>-11952</v>
      </c>
    </row>
    <row r="454" spans="1:7" ht="17.25" customHeight="1">
      <c r="A454" s="2">
        <v>43269</v>
      </c>
      <c r="B454" s="3">
        <v>316278</v>
      </c>
      <c r="C454" s="3">
        <v>391136</v>
      </c>
      <c r="D454" s="3">
        <v>74858</v>
      </c>
      <c r="E454" s="16">
        <v>39349</v>
      </c>
      <c r="F454" s="16">
        <v>21588</v>
      </c>
      <c r="G454" s="16">
        <v>13921</v>
      </c>
    </row>
    <row r="455" spans="1:7" ht="17.25" customHeight="1">
      <c r="A455" s="2">
        <v>43299</v>
      </c>
      <c r="B455" s="23">
        <v>225266</v>
      </c>
      <c r="C455" s="3">
        <v>302131</v>
      </c>
      <c r="D455" s="3">
        <v>76865</v>
      </c>
      <c r="E455" s="16">
        <v>103330</v>
      </c>
      <c r="F455" s="23">
        <v>-25354</v>
      </c>
      <c r="G455" s="23">
        <v>-1110</v>
      </c>
    </row>
    <row r="456" spans="1:7" ht="17.25" customHeight="1">
      <c r="A456" s="2">
        <v>43313</v>
      </c>
      <c r="B456" s="23">
        <v>219115</v>
      </c>
      <c r="C456" s="3">
        <v>433263</v>
      </c>
      <c r="D456" s="3">
        <v>214148</v>
      </c>
      <c r="E456" s="16">
        <v>214260</v>
      </c>
      <c r="F456" s="23">
        <v>40189</v>
      </c>
      <c r="G456" s="23">
        <v>-40301</v>
      </c>
    </row>
    <row r="457" spans="1:7" ht="17.25" customHeight="1">
      <c r="A457" s="2">
        <v>43344</v>
      </c>
      <c r="B457" s="23">
        <v>343559</v>
      </c>
      <c r="C457" s="3">
        <v>224443</v>
      </c>
      <c r="D457" s="3">
        <v>-119116</v>
      </c>
      <c r="E457" s="16">
        <v>-24436</v>
      </c>
      <c r="F457" s="23">
        <v>-66742</v>
      </c>
      <c r="G457" s="23">
        <v>-27938</v>
      </c>
    </row>
    <row r="458" spans="1:7" ht="17.25" customHeight="1">
      <c r="A458" s="2">
        <v>43374</v>
      </c>
      <c r="B458" s="23">
        <v>252692</v>
      </c>
      <c r="C458" s="3">
        <v>353183</v>
      </c>
      <c r="D458" s="3">
        <v>100491</v>
      </c>
      <c r="E458" s="16">
        <v>80897</v>
      </c>
      <c r="F458" s="23">
        <v>18116</v>
      </c>
      <c r="G458" s="23">
        <v>1478</v>
      </c>
    </row>
    <row r="459" spans="1:7" ht="17.25" customHeight="1">
      <c r="A459" s="2">
        <v>43405</v>
      </c>
      <c r="B459" s="23">
        <v>205961</v>
      </c>
      <c r="C459" s="3">
        <v>410864</v>
      </c>
      <c r="D459" s="3">
        <v>204903</v>
      </c>
      <c r="E459" s="16">
        <v>200137</v>
      </c>
      <c r="F459" s="23">
        <v>21723</v>
      </c>
      <c r="G459" s="23">
        <v>-16957</v>
      </c>
    </row>
    <row r="460" spans="1:7" ht="17.25" customHeight="1">
      <c r="A460" s="2">
        <v>43435</v>
      </c>
      <c r="B460" s="23">
        <v>312584</v>
      </c>
      <c r="C460" s="3">
        <v>326123</v>
      </c>
      <c r="D460" s="3">
        <v>13539</v>
      </c>
      <c r="E460" s="16">
        <v>58595</v>
      </c>
      <c r="F460" s="23">
        <v>-57264</v>
      </c>
      <c r="G460" s="23">
        <v>12208</v>
      </c>
    </row>
    <row r="461" spans="1:7" ht="17.25" customHeight="1">
      <c r="A461" s="2">
        <v>43466</v>
      </c>
      <c r="B461" s="23">
        <v>339980</v>
      </c>
      <c r="C461" s="3">
        <v>331299</v>
      </c>
      <c r="D461" s="3">
        <v>-8681</v>
      </c>
      <c r="E461" s="16">
        <v>103</v>
      </c>
      <c r="F461" s="23">
        <v>-1459</v>
      </c>
      <c r="G461" s="23">
        <v>-7326</v>
      </c>
    </row>
    <row r="462" spans="1:7" ht="17.25" customHeight="1">
      <c r="A462" s="2">
        <v>43497</v>
      </c>
      <c r="B462" s="23">
        <v>167265</v>
      </c>
      <c r="C462" s="3">
        <v>401243</v>
      </c>
      <c r="D462" s="3">
        <v>233977</v>
      </c>
      <c r="E462" s="16">
        <v>149613</v>
      </c>
      <c r="F462" s="23">
        <v>112933</v>
      </c>
      <c r="G462" s="23">
        <v>-28569</v>
      </c>
    </row>
    <row r="463" spans="1:7" ht="17.25" customHeight="1">
      <c r="A463" s="2">
        <v>43525</v>
      </c>
      <c r="B463" s="23">
        <v>228811</v>
      </c>
      <c r="C463" s="3">
        <v>375756</v>
      </c>
      <c r="D463" s="3">
        <v>146945</v>
      </c>
      <c r="E463" s="16">
        <v>-45932</v>
      </c>
      <c r="F463" s="23">
        <v>-43348</v>
      </c>
      <c r="G463" s="23">
        <v>236224</v>
      </c>
    </row>
    <row r="464" spans="1:7" ht="17.25" customHeight="1">
      <c r="A464" s="2">
        <v>43556</v>
      </c>
      <c r="B464" s="23">
        <v>535545</v>
      </c>
      <c r="C464" s="3">
        <v>375240</v>
      </c>
      <c r="D464" s="3">
        <v>-160305</v>
      </c>
      <c r="E464" s="16">
        <v>-12194</v>
      </c>
      <c r="F464" s="23">
        <v>-88573</v>
      </c>
      <c r="G464" s="23">
        <v>-59537</v>
      </c>
    </row>
    <row r="465" spans="1:7" ht="17.25" customHeight="1">
      <c r="A465" s="2">
        <v>43586</v>
      </c>
      <c r="B465" s="23">
        <v>232064</v>
      </c>
      <c r="C465" s="3">
        <v>439833</v>
      </c>
      <c r="D465" s="3">
        <v>207768</v>
      </c>
      <c r="E465" s="16">
        <v>9497</v>
      </c>
      <c r="F465" s="23">
        <v>189711</v>
      </c>
      <c r="G465" s="23">
        <v>8560</v>
      </c>
    </row>
    <row r="466" spans="1:7" ht="17.25" customHeight="1">
      <c r="A466" s="2">
        <v>43617</v>
      </c>
      <c r="B466" s="23">
        <v>333952</v>
      </c>
      <c r="C466" s="3">
        <v>342430</v>
      </c>
      <c r="D466" s="3">
        <v>8477</v>
      </c>
      <c r="E466" s="16">
        <v>-12337</v>
      </c>
      <c r="F466" s="23">
        <v>-30835</v>
      </c>
      <c r="G466" s="23">
        <v>51649</v>
      </c>
    </row>
    <row r="467" spans="1:7" ht="17.25" customHeight="1">
      <c r="A467" s="2">
        <v>43647</v>
      </c>
      <c r="B467" s="23">
        <v>251348</v>
      </c>
      <c r="C467" s="3">
        <v>371044</v>
      </c>
      <c r="D467" s="3">
        <v>119696</v>
      </c>
      <c r="E467" s="16">
        <v>24422</v>
      </c>
      <c r="F467" s="23">
        <v>87047</v>
      </c>
      <c r="G467" s="23">
        <v>8227</v>
      </c>
    </row>
    <row r="468" spans="1:7" ht="17.25" customHeight="1">
      <c r="A468" s="2">
        <v>43678</v>
      </c>
      <c r="B468" s="23">
        <v>227965</v>
      </c>
      <c r="C468" s="3">
        <v>428309</v>
      </c>
      <c r="D468" s="3">
        <v>200344</v>
      </c>
      <c r="E468" s="16">
        <v>386186</v>
      </c>
      <c r="F468" s="23">
        <v>43571</v>
      </c>
      <c r="G468" s="23">
        <v>-229413</v>
      </c>
    </row>
    <row r="469" spans="1:7" ht="17.25" customHeight="1">
      <c r="A469" s="2">
        <v>43709</v>
      </c>
      <c r="B469" s="23">
        <v>374028</v>
      </c>
      <c r="C469" s="3">
        <v>291260</v>
      </c>
      <c r="D469" s="3">
        <v>-82768</v>
      </c>
      <c r="E469" s="16">
        <v>212619</v>
      </c>
      <c r="F469" s="23">
        <v>-249392</v>
      </c>
      <c r="G469" s="23">
        <v>-45994</v>
      </c>
    </row>
    <row r="470" spans="1:7" ht="17.25" customHeight="1">
      <c r="A470" s="2">
        <v>43739</v>
      </c>
      <c r="B470" s="23">
        <v>245521</v>
      </c>
      <c r="C470" s="3">
        <v>379988</v>
      </c>
      <c r="D470" s="3">
        <v>134467</v>
      </c>
      <c r="E470" s="16">
        <v>159836</v>
      </c>
      <c r="F470" s="23">
        <v>-52458</v>
      </c>
      <c r="G470" s="23">
        <v>27090</v>
      </c>
    </row>
    <row r="471" spans="1:7" ht="17.25" customHeight="1">
      <c r="A471" s="2">
        <v>43770</v>
      </c>
      <c r="B471" s="23">
        <v>225185</v>
      </c>
      <c r="C471" s="3">
        <v>434024</v>
      </c>
      <c r="D471" s="3">
        <v>208838</v>
      </c>
      <c r="E471" s="16">
        <v>125462</v>
      </c>
      <c r="F471" s="23">
        <v>92324</v>
      </c>
      <c r="G471" s="23">
        <v>-8948</v>
      </c>
    </row>
    <row r="472" spans="1:7" ht="17.25" customHeight="1">
      <c r="A472" s="2">
        <v>43800</v>
      </c>
      <c r="B472" s="23">
        <v>335805</v>
      </c>
      <c r="C472" s="3" t="s">
        <v>318</v>
      </c>
      <c r="D472" s="3">
        <v>13286</v>
      </c>
      <c r="E472" s="16">
        <v>65767</v>
      </c>
      <c r="F472" s="23">
        <v>-61235</v>
      </c>
      <c r="G472" s="23">
        <v>8740</v>
      </c>
    </row>
    <row r="473" spans="1:7" ht="17.25" customHeight="1">
      <c r="A473" s="2">
        <v>43831</v>
      </c>
      <c r="B473" s="23">
        <v>372288</v>
      </c>
      <c r="C473" s="3" t="s">
        <v>319</v>
      </c>
      <c r="D473" s="3">
        <v>32595</v>
      </c>
      <c r="E473" s="16">
        <v>41898</v>
      </c>
      <c r="F473" s="23">
        <v>-131</v>
      </c>
      <c r="G473" s="23">
        <v>-9174</v>
      </c>
    </row>
    <row r="474" spans="1:7" ht="17.25" customHeight="1">
      <c r="A474" s="2">
        <v>43862</v>
      </c>
      <c r="B474" s="23">
        <v>187951</v>
      </c>
      <c r="C474" s="3" t="s">
        <v>320</v>
      </c>
      <c r="D474" s="3">
        <v>235278</v>
      </c>
      <c r="E474" s="16">
        <v>200119</v>
      </c>
      <c r="F474" s="23">
        <v>46732</v>
      </c>
      <c r="G474" s="23">
        <v>-11516</v>
      </c>
    </row>
    <row r="475" spans="1:7" ht="17.25" customHeight="1">
      <c r="A475" s="2">
        <v>43891</v>
      </c>
      <c r="B475" s="23">
        <v>236766</v>
      </c>
      <c r="C475" s="3" t="s">
        <v>321</v>
      </c>
      <c r="D475" s="3">
        <v>118988</v>
      </c>
      <c r="E475" s="16">
        <v>267964</v>
      </c>
      <c r="F475" s="23">
        <v>-158006</v>
      </c>
      <c r="G475" s="23">
        <v>9167</v>
      </c>
    </row>
    <row r="476" spans="1:7" ht="17.25" customHeight="1">
      <c r="A476" s="2">
        <v>43922</v>
      </c>
      <c r="B476" s="23">
        <v>241863</v>
      </c>
      <c r="C476" s="3" t="s">
        <v>322</v>
      </c>
      <c r="D476" s="3">
        <v>738022</v>
      </c>
      <c r="E476" s="16">
        <v>1386528</v>
      </c>
      <c r="F476" s="23">
        <v>-664778</v>
      </c>
      <c r="G476" s="23">
        <v>16100</v>
      </c>
    </row>
    <row r="477" spans="1:7" ht="17.25" customHeight="1">
      <c r="A477" s="2">
        <v>43952</v>
      </c>
      <c r="B477" s="23">
        <v>173861</v>
      </c>
      <c r="C477" s="3" t="s">
        <v>323</v>
      </c>
      <c r="D477" s="3">
        <v>398754</v>
      </c>
      <c r="E477" s="16">
        <v>759988</v>
      </c>
      <c r="F477" s="23">
        <v>-269095</v>
      </c>
      <c r="G477" s="23">
        <v>-92072</v>
      </c>
    </row>
    <row r="478" spans="1:7" ht="17.25" customHeight="1">
      <c r="A478" s="2">
        <v>43983</v>
      </c>
      <c r="B478" s="23">
        <v>240829</v>
      </c>
      <c r="C478" s="3">
        <v>1104903</v>
      </c>
      <c r="D478" s="3">
        <v>864074</v>
      </c>
      <c r="E478" s="16">
        <v>716272</v>
      </c>
      <c r="F478" s="23">
        <v>-272903</v>
      </c>
      <c r="G478" s="23">
        <v>420705</v>
      </c>
    </row>
    <row r="479" spans="1:7" ht="17.25" customHeight="1">
      <c r="A479" s="2">
        <v>44013</v>
      </c>
      <c r="B479" s="23">
        <v>563496</v>
      </c>
      <c r="C479" s="3">
        <v>626487</v>
      </c>
      <c r="D479" s="3">
        <v>62992</v>
      </c>
      <c r="E479" s="16">
        <v>106415</v>
      </c>
      <c r="F479" s="23">
        <v>-41058</v>
      </c>
      <c r="G479" s="23">
        <v>-2365</v>
      </c>
    </row>
    <row r="480" spans="1:7" ht="16.5" customHeight="1">
      <c r="A480" s="2">
        <v>44044</v>
      </c>
      <c r="B480" s="23">
        <v>223221</v>
      </c>
      <c r="C480" s="3">
        <v>423233</v>
      </c>
      <c r="D480" s="3">
        <v>200012</v>
      </c>
      <c r="E480" s="16">
        <v>188752</v>
      </c>
      <c r="F480" s="23">
        <v>57108</v>
      </c>
      <c r="G480" s="23">
        <v>-45764</v>
      </c>
    </row>
    <row r="481" spans="1:7" ht="16.5" customHeight="1">
      <c r="A481" s="2">
        <v>44075</v>
      </c>
      <c r="B481" s="23">
        <v>373169</v>
      </c>
      <c r="C481" s="3">
        <v>497780</v>
      </c>
      <c r="D481" s="3">
        <v>124611</v>
      </c>
      <c r="E481" s="16">
        <v>197279</v>
      </c>
      <c r="F481" s="23">
        <v>-75697</v>
      </c>
      <c r="G481" s="23">
        <v>3029</v>
      </c>
    </row>
    <row r="482" spans="1:7" ht="16.5" customHeight="1">
      <c r="A482" s="2">
        <v>44105</v>
      </c>
      <c r="B482" s="3">
        <v>237698</v>
      </c>
      <c r="C482" s="3">
        <v>521769</v>
      </c>
      <c r="D482" s="3">
        <v>284071</v>
      </c>
      <c r="E482" s="16">
        <v>78616</v>
      </c>
      <c r="F482" s="16">
        <v>182881</v>
      </c>
      <c r="G482" s="16">
        <v>22574</v>
      </c>
    </row>
    <row r="483" spans="1:7" ht="16.5" customHeight="1">
      <c r="A483" s="2">
        <v>44136</v>
      </c>
      <c r="B483" s="3">
        <v>219553</v>
      </c>
      <c r="C483" s="3">
        <v>364819</v>
      </c>
      <c r="D483" s="3">
        <v>145266</v>
      </c>
      <c r="E483" s="16">
        <v>251250</v>
      </c>
      <c r="F483" s="16">
        <v>-24188</v>
      </c>
      <c r="G483" s="16">
        <v>-81796</v>
      </c>
    </row>
    <row r="484" spans="1:7" ht="16.5" customHeight="1">
      <c r="A484" s="2">
        <v>44166</v>
      </c>
      <c r="B484" s="3">
        <v>346119</v>
      </c>
      <c r="C484" s="3">
        <v>489682</v>
      </c>
      <c r="D484" s="3">
        <v>143562</v>
      </c>
      <c r="E484" s="16">
        <v>284064</v>
      </c>
      <c r="F484" s="16">
        <v>-105583</v>
      </c>
      <c r="G484" s="16">
        <v>-34919</v>
      </c>
    </row>
    <row r="485" spans="1:7" ht="16.5" customHeight="1">
      <c r="A485" s="2">
        <v>44197</v>
      </c>
      <c r="B485" s="3">
        <v>384651</v>
      </c>
      <c r="C485" s="3">
        <v>547483</v>
      </c>
      <c r="D485" s="3">
        <v>162832</v>
      </c>
      <c r="E485" s="16">
        <v>11544</v>
      </c>
      <c r="F485" s="16">
        <v>117217</v>
      </c>
      <c r="G485" s="16">
        <v>34071</v>
      </c>
    </row>
    <row r="486" spans="1:7" ht="16.5" customHeight="1">
      <c r="A486" s="2">
        <v>44228</v>
      </c>
      <c r="B486" s="3">
        <v>248314</v>
      </c>
      <c r="C486" s="3">
        <v>559236</v>
      </c>
      <c r="D486" s="3">
        <v>310922</v>
      </c>
      <c r="E486" s="16">
        <v>110206</v>
      </c>
      <c r="F486" s="16">
        <v>196886</v>
      </c>
      <c r="G486" s="16">
        <v>3829</v>
      </c>
    </row>
    <row r="487" spans="1:7" ht="16.5" customHeight="1">
      <c r="A487" s="2">
        <v>44256</v>
      </c>
      <c r="B487" s="3">
        <v>267614</v>
      </c>
      <c r="C487" s="3">
        <v>927217</v>
      </c>
      <c r="D487" s="3">
        <v>659603</v>
      </c>
      <c r="E487" s="16">
        <v>226219</v>
      </c>
      <c r="F487" s="16">
        <v>292515</v>
      </c>
      <c r="G487" s="16">
        <v>140858</v>
      </c>
    </row>
    <row r="488" spans="1:7" ht="16.5" customHeight="1">
      <c r="A488" s="2">
        <v>44287</v>
      </c>
      <c r="B488" s="3">
        <v>439186</v>
      </c>
      <c r="C488" s="3">
        <v>664766</v>
      </c>
      <c r="D488" s="3">
        <v>225579</v>
      </c>
      <c r="E488" s="16">
        <v>65521</v>
      </c>
      <c r="F488" s="16">
        <v>151234</v>
      </c>
      <c r="G488" s="16">
        <v>8824</v>
      </c>
    </row>
    <row r="489" spans="1:7" ht="16.5" customHeight="1">
      <c r="A489" s="2">
        <v>44317</v>
      </c>
      <c r="B489" s="3">
        <v>463745</v>
      </c>
      <c r="C489" s="3">
        <v>595698</v>
      </c>
      <c r="D489" s="3">
        <v>131953</v>
      </c>
      <c r="E489" s="16">
        <v>-30179</v>
      </c>
      <c r="F489" s="16">
        <v>194017</v>
      </c>
      <c r="G489" s="16">
        <v>-31884</v>
      </c>
    </row>
    <row r="490" spans="1:7" ht="16.5" customHeight="1">
      <c r="A490" s="2">
        <v>44348</v>
      </c>
      <c r="B490" s="3">
        <v>449199</v>
      </c>
      <c r="C490" s="3">
        <v>623359</v>
      </c>
      <c r="D490" s="3">
        <v>174161</v>
      </c>
      <c r="E490" s="16">
        <v>311416</v>
      </c>
      <c r="F490" s="16">
        <v>-75229</v>
      </c>
      <c r="G490" s="16">
        <v>-62027</v>
      </c>
    </row>
    <row r="491" spans="1:7" ht="16.5" customHeight="1">
      <c r="A491" s="2">
        <v>44378</v>
      </c>
      <c r="B491" s="3">
        <v>262000</v>
      </c>
      <c r="C491" s="3">
        <v>564050</v>
      </c>
      <c r="D491" s="3">
        <v>302050</v>
      </c>
      <c r="E491" s="16">
        <v>-40279</v>
      </c>
      <c r="F491" s="16">
        <v>392526</v>
      </c>
      <c r="G491" s="16">
        <v>-50194</v>
      </c>
    </row>
    <row r="492" spans="1:7" ht="16.5" customHeight="1">
      <c r="A492" s="2">
        <v>44409</v>
      </c>
      <c r="B492" s="3">
        <v>268378</v>
      </c>
      <c r="C492" s="3">
        <v>439013</v>
      </c>
      <c r="D492" s="3">
        <v>170635</v>
      </c>
      <c r="E492" s="16">
        <v>-30375</v>
      </c>
      <c r="F492" s="16">
        <v>103418</v>
      </c>
      <c r="G492" s="16">
        <v>97592</v>
      </c>
    </row>
    <row r="493" spans="1:7" ht="16.5" customHeight="1">
      <c r="A493" s="2">
        <v>44440</v>
      </c>
      <c r="B493" s="3">
        <v>459523</v>
      </c>
      <c r="C493" s="3">
        <v>524463</v>
      </c>
      <c r="D493" s="3">
        <v>64940</v>
      </c>
      <c r="E493" s="16">
        <v>29945</v>
      </c>
      <c r="F493" s="16">
        <v>140824</v>
      </c>
      <c r="G493" s="16">
        <f>-109224+3374+22</f>
        <v>-105828</v>
      </c>
    </row>
    <row r="494" spans="1:7" ht="16.5" customHeight="1">
      <c r="A494" s="2">
        <v>44470</v>
      </c>
      <c r="B494" s="3">
        <v>283927</v>
      </c>
      <c r="C494" s="3">
        <v>448983</v>
      </c>
      <c r="D494" s="3">
        <v>165055</v>
      </c>
      <c r="E494" s="16">
        <v>356602</v>
      </c>
      <c r="F494" s="16">
        <v>-62863</v>
      </c>
      <c r="G494" s="16">
        <v>-128684</v>
      </c>
    </row>
    <row r="495" spans="1:7" ht="16.5" customHeight="1">
      <c r="A495" s="2">
        <v>44501</v>
      </c>
      <c r="B495" s="3">
        <v>281208</v>
      </c>
      <c r="C495" s="3">
        <v>472543</v>
      </c>
      <c r="D495" s="3">
        <v>191335</v>
      </c>
      <c r="E495" s="16">
        <v>7512</v>
      </c>
      <c r="F495" s="16">
        <v>64870</v>
      </c>
      <c r="G495" s="16">
        <v>118953</v>
      </c>
    </row>
    <row r="496" spans="1:7" ht="16.5" customHeight="1">
      <c r="A496" s="2">
        <v>44531</v>
      </c>
      <c r="B496" s="3" t="s">
        <v>325</v>
      </c>
      <c r="C496" s="3" t="s">
        <v>334</v>
      </c>
      <c r="D496" s="3">
        <v>21303</v>
      </c>
      <c r="E496" s="16">
        <v>498339</v>
      </c>
      <c r="F496" s="16">
        <v>-192955</v>
      </c>
      <c r="G496" s="16">
        <v>-284081</v>
      </c>
    </row>
    <row r="497" spans="1:7" ht="16.5" customHeight="1">
      <c r="A497" s="2">
        <v>44562</v>
      </c>
      <c r="B497" s="3" t="s">
        <v>326</v>
      </c>
      <c r="C497" s="3" t="s">
        <v>335</v>
      </c>
      <c r="D497" s="3">
        <v>-118699</v>
      </c>
      <c r="E497" s="16">
        <v>340983</v>
      </c>
      <c r="F497" s="16">
        <v>-336735</v>
      </c>
      <c r="G497" s="16">
        <v>-122947</v>
      </c>
    </row>
    <row r="498" spans="1:7" ht="16.5" customHeight="1">
      <c r="A498" s="2">
        <v>44593</v>
      </c>
      <c r="B498" s="22" t="s">
        <v>327</v>
      </c>
      <c r="C498" s="22" t="s">
        <v>336</v>
      </c>
      <c r="D498" s="3">
        <v>216590</v>
      </c>
      <c r="E498" s="16">
        <v>286640</v>
      </c>
      <c r="F498" s="16">
        <v>-28421</v>
      </c>
      <c r="G498" s="16">
        <v>-41630</v>
      </c>
    </row>
    <row r="499" spans="1:7" ht="16.5" customHeight="1">
      <c r="A499" s="2">
        <v>44621</v>
      </c>
      <c r="B499" s="3" t="s">
        <v>328</v>
      </c>
      <c r="C499" s="22" t="s">
        <v>337</v>
      </c>
      <c r="D499" s="3">
        <v>192634</v>
      </c>
      <c r="E499" s="16">
        <v>99652</v>
      </c>
      <c r="F499" s="16">
        <v>119740</v>
      </c>
      <c r="G499" s="16">
        <v>-26758</v>
      </c>
    </row>
    <row r="500" spans="1:7" ht="16.5" customHeight="1">
      <c r="A500" s="2">
        <v>44652</v>
      </c>
      <c r="B500" s="3" t="s">
        <v>329</v>
      </c>
      <c r="C500" s="3" t="s">
        <v>338</v>
      </c>
      <c r="D500" s="3">
        <v>-308215</v>
      </c>
      <c r="E500" s="16">
        <v>-40655</v>
      </c>
      <c r="F500" s="16">
        <v>-271717</v>
      </c>
      <c r="G500" s="16">
        <v>4157</v>
      </c>
    </row>
    <row r="501" spans="1:7" ht="16.5" customHeight="1">
      <c r="A501" s="2">
        <v>44682</v>
      </c>
      <c r="B501" s="3" t="s">
        <v>330</v>
      </c>
      <c r="C501" s="3" t="s">
        <v>339</v>
      </c>
      <c r="D501" s="3">
        <v>66223</v>
      </c>
      <c r="E501" s="16">
        <v>50180</v>
      </c>
      <c r="F501" s="16">
        <v>69000</v>
      </c>
      <c r="G501" s="16">
        <v>-52957</v>
      </c>
    </row>
    <row r="502" spans="1:7" ht="16.5" customHeight="1">
      <c r="A502" s="2">
        <v>44713</v>
      </c>
      <c r="B502" s="3" t="s">
        <v>331</v>
      </c>
      <c r="C502" s="3" t="s">
        <v>340</v>
      </c>
      <c r="D502" s="3">
        <v>88842</v>
      </c>
      <c r="E502" s="16">
        <v>3263</v>
      </c>
      <c r="F502" s="16">
        <v>71835</v>
      </c>
      <c r="G502" s="16">
        <v>13744</v>
      </c>
    </row>
    <row r="503" spans="1:7" ht="16.5" customHeight="1">
      <c r="A503" s="2">
        <v>44743</v>
      </c>
      <c r="B503" s="3" t="s">
        <v>332</v>
      </c>
      <c r="C503" s="3" t="s">
        <v>341</v>
      </c>
      <c r="D503" s="3">
        <v>211052</v>
      </c>
      <c r="E503" s="16">
        <v>36707</v>
      </c>
      <c r="F503" s="16">
        <v>163133</v>
      </c>
      <c r="G503" s="16">
        <v>11212</v>
      </c>
    </row>
    <row r="504" spans="1:7" ht="16.5" customHeight="1">
      <c r="A504" s="2">
        <v>44774</v>
      </c>
      <c r="B504" s="3" t="s">
        <v>333</v>
      </c>
      <c r="C504" s="3" t="s">
        <v>324</v>
      </c>
      <c r="D504" s="3">
        <v>219596</v>
      </c>
      <c r="E504" s="16">
        <v>308281</v>
      </c>
      <c r="F504" s="16">
        <v>-50638</v>
      </c>
      <c r="G504" s="16">
        <v>-38047</v>
      </c>
    </row>
    <row r="505" spans="1:7" ht="16.5" customHeight="1">
      <c r="A505" s="2">
        <v>44805</v>
      </c>
      <c r="B505" s="3">
        <v>487723</v>
      </c>
      <c r="C505" s="22" t="s">
        <v>342</v>
      </c>
      <c r="D505" s="3" t="s">
        <v>343</v>
      </c>
      <c r="E505" s="16">
        <v>22310</v>
      </c>
      <c r="F505" s="16">
        <v>33918</v>
      </c>
      <c r="G505" s="16">
        <v>373548</v>
      </c>
    </row>
    <row r="506" spans="1:7" ht="16.5" customHeight="1">
      <c r="A506" s="2">
        <v>44835</v>
      </c>
      <c r="B506" s="3">
        <v>318500</v>
      </c>
      <c r="C506" s="3">
        <v>406374</v>
      </c>
      <c r="D506" s="3">
        <v>87874</v>
      </c>
      <c r="E506" s="16">
        <v>43244</v>
      </c>
      <c r="F506" s="16">
        <v>39524</v>
      </c>
      <c r="G506" s="16">
        <v>5106</v>
      </c>
    </row>
    <row r="507" spans="1:7" ht="16.5" customHeight="1">
      <c r="A507" s="2">
        <v>44866</v>
      </c>
      <c r="B507" s="3">
        <v>252111</v>
      </c>
      <c r="C507" s="3">
        <v>500646</v>
      </c>
      <c r="D507" s="3">
        <v>248535</v>
      </c>
      <c r="E507" s="16">
        <v>194996</v>
      </c>
      <c r="F507" s="16">
        <v>63679</v>
      </c>
      <c r="G507" s="16">
        <v>-10140</v>
      </c>
    </row>
    <row r="508" spans="1:7" ht="16.5" customHeight="1">
      <c r="A508" s="2">
        <v>44896</v>
      </c>
      <c r="B508" s="3">
        <v>454942</v>
      </c>
      <c r="C508" s="3">
        <v>539943</v>
      </c>
      <c r="D508" s="3">
        <v>85001</v>
      </c>
      <c r="E508" s="16">
        <v>-36185</v>
      </c>
      <c r="F508" s="16">
        <v>86106</v>
      </c>
      <c r="G508" s="16">
        <v>35080</v>
      </c>
    </row>
    <row r="509" spans="1:7" ht="16.5" customHeight="1">
      <c r="A509" s="2">
        <v>44927</v>
      </c>
      <c r="B509" s="3">
        <v>447288</v>
      </c>
      <c r="C509" s="3">
        <v>486072</v>
      </c>
      <c r="D509" s="3">
        <v>38784</v>
      </c>
      <c r="E509" s="16">
        <v>67209</v>
      </c>
      <c r="F509" s="16">
        <v>-121223</v>
      </c>
      <c r="G509" s="16">
        <v>92798</v>
      </c>
    </row>
    <row r="510" spans="1:7" ht="16.5" customHeight="1">
      <c r="A510" s="2">
        <v>44958</v>
      </c>
      <c r="B510" s="3">
        <v>262114</v>
      </c>
      <c r="C510" s="3">
        <v>524548</v>
      </c>
      <c r="D510" s="3">
        <v>262434</v>
      </c>
      <c r="E510" s="16">
        <v>21386</v>
      </c>
      <c r="F510" s="16">
        <v>152904</v>
      </c>
      <c r="G510" s="16">
        <v>88145</v>
      </c>
    </row>
    <row r="511" spans="1:7" ht="16.5" customHeight="1">
      <c r="A511" s="2">
        <v>44986</v>
      </c>
      <c r="B511" s="3">
        <v>313240</v>
      </c>
      <c r="C511" s="3">
        <v>691317</v>
      </c>
      <c r="D511" s="3">
        <v>378076</v>
      </c>
      <c r="E511" s="16">
        <v>81031</v>
      </c>
      <c r="F511" s="16">
        <v>237312</v>
      </c>
      <c r="G511" s="16">
        <v>59733</v>
      </c>
    </row>
    <row r="512" spans="1:7" ht="16.5" customHeight="1">
      <c r="A512" s="2">
        <v>45017</v>
      </c>
      <c r="B512" s="3">
        <v>638520</v>
      </c>
      <c r="C512" s="3">
        <v>462340</v>
      </c>
      <c r="D512" s="3">
        <v>-176181</v>
      </c>
      <c r="E512" s="16">
        <v>-87787</v>
      </c>
      <c r="F512" s="16">
        <v>-138688</v>
      </c>
      <c r="G512" s="16">
        <v>50294</v>
      </c>
    </row>
    <row r="513" spans="1:7" ht="16.5" customHeight="1">
      <c r="A513" s="2">
        <v>45069</v>
      </c>
      <c r="B513" s="3">
        <v>307487</v>
      </c>
      <c r="C513" s="3">
        <v>547835</v>
      </c>
      <c r="D513" s="3">
        <v>240348</v>
      </c>
      <c r="E513" s="16">
        <v>19085</v>
      </c>
      <c r="F513" s="16">
        <v>267869</v>
      </c>
      <c r="G513" s="16">
        <v>-46605</v>
      </c>
    </row>
    <row r="514" spans="1:7" ht="16.5" customHeight="1">
      <c r="A514" s="2">
        <v>45100</v>
      </c>
      <c r="B514" s="3">
        <v>418317</v>
      </c>
      <c r="C514" s="3">
        <v>646085</v>
      </c>
      <c r="D514" s="3">
        <v>227768</v>
      </c>
      <c r="E514" s="16">
        <v>823325</v>
      </c>
      <c r="F514" s="16">
        <v>-353883</v>
      </c>
      <c r="G514" s="16">
        <v>-241674</v>
      </c>
    </row>
    <row r="515" spans="1:7" ht="16.5" customHeight="1">
      <c r="A515" s="2">
        <v>45130</v>
      </c>
      <c r="B515" s="3">
        <v>276161</v>
      </c>
      <c r="C515" s="3">
        <v>496943</v>
      </c>
      <c r="D515" s="3">
        <v>220782</v>
      </c>
      <c r="E515" s="16">
        <v>244163</v>
      </c>
      <c r="F515" s="16">
        <v>-99434</v>
      </c>
      <c r="G515" s="16">
        <v>76053</v>
      </c>
    </row>
    <row r="516" spans="1:7" ht="16.5" customHeight="1">
      <c r="A516" s="2">
        <v>45161</v>
      </c>
      <c r="B516" s="3">
        <v>283130</v>
      </c>
      <c r="C516" s="3">
        <v>193875</v>
      </c>
      <c r="D516" s="3">
        <v>-89256</v>
      </c>
      <c r="E516" s="16">
        <v>328271</v>
      </c>
      <c r="F516" s="16">
        <v>-40014</v>
      </c>
      <c r="G516" s="16">
        <v>-377512</v>
      </c>
    </row>
    <row r="517" spans="1:7" ht="16.5" customHeight="1">
      <c r="A517" s="2">
        <v>45192</v>
      </c>
      <c r="B517" s="3">
        <v>467473</v>
      </c>
      <c r="C517" s="3">
        <v>638455</v>
      </c>
      <c r="D517" s="3">
        <v>170982</v>
      </c>
      <c r="E517" s="16">
        <v>283932</v>
      </c>
      <c r="F517" s="16">
        <v>-115046</v>
      </c>
      <c r="G517" s="16">
        <v>2097</v>
      </c>
    </row>
    <row r="518" spans="1:7" ht="16.5" customHeight="1">
      <c r="A518" s="2">
        <v>45222</v>
      </c>
      <c r="B518" s="3">
        <v>403434</v>
      </c>
      <c r="C518" s="3">
        <v>469997</v>
      </c>
      <c r="D518" s="3">
        <v>66564</v>
      </c>
      <c r="E518" s="16">
        <v>226047</v>
      </c>
      <c r="F518" s="16">
        <v>-175523</v>
      </c>
      <c r="G518" s="16">
        <v>16039</v>
      </c>
    </row>
    <row r="519" spans="1:7" ht="16.5" customHeight="1">
      <c r="A519" s="2">
        <v>45253</v>
      </c>
      <c r="B519" s="3">
        <v>274830</v>
      </c>
      <c r="C519" s="3">
        <v>588842</v>
      </c>
      <c r="D519" s="3">
        <v>314012</v>
      </c>
      <c r="E519" s="16">
        <v>261061</v>
      </c>
      <c r="F519" s="16">
        <v>73561</v>
      </c>
      <c r="G519" s="16">
        <v>-20609</v>
      </c>
    </row>
    <row r="520" spans="1:7" ht="16.5" customHeight="1">
      <c r="A520" s="2">
        <v>45283</v>
      </c>
      <c r="B520" s="3">
        <v>429311</v>
      </c>
      <c r="C520" s="3">
        <v>558665</v>
      </c>
      <c r="D520" s="3">
        <v>129354</v>
      </c>
      <c r="E520" s="16">
        <v>100278</v>
      </c>
      <c r="F520" s="16">
        <v>-9739</v>
      </c>
      <c r="G520" s="16">
        <v>38815</v>
      </c>
    </row>
    <row r="521" spans="1:7" ht="16.5" customHeight="1">
      <c r="A521" s="2">
        <v>45314</v>
      </c>
      <c r="B521" s="3">
        <v>477320</v>
      </c>
      <c r="C521" s="3">
        <v>499250</v>
      </c>
      <c r="D521" s="3">
        <v>21930</v>
      </c>
      <c r="E521" s="16">
        <v>137681</v>
      </c>
      <c r="F521" s="16">
        <v>-96891</v>
      </c>
      <c r="G521" s="16">
        <v>-18860</v>
      </c>
    </row>
    <row r="522" spans="1:7" ht="16.5" customHeight="1">
      <c r="A522" s="2">
        <v>45345</v>
      </c>
      <c r="B522" s="3">
        <v>271126</v>
      </c>
      <c r="C522" s="3">
        <v>567401</v>
      </c>
      <c r="D522" s="3">
        <v>296275</v>
      </c>
      <c r="E522" s="16">
        <v>302366</v>
      </c>
      <c r="F522" s="16">
        <v>28382</v>
      </c>
      <c r="G522" s="16">
        <v>-34473</v>
      </c>
    </row>
    <row r="523" spans="1:7" ht="16.5" customHeight="1">
      <c r="A523" s="2">
        <v>45374</v>
      </c>
      <c r="B523" s="3">
        <v>332091</v>
      </c>
      <c r="C523" s="3">
        <v>568548</v>
      </c>
      <c r="D523" s="3">
        <v>236457</v>
      </c>
      <c r="E523" s="16">
        <v>134803</v>
      </c>
      <c r="F523" s="16">
        <v>61831</v>
      </c>
      <c r="G523" s="16">
        <v>39823</v>
      </c>
    </row>
    <row r="524" spans="5:7" ht="16.5" customHeight="1">
      <c r="E524" s="16"/>
      <c r="F524" s="16"/>
      <c r="G524" s="16"/>
    </row>
    <row r="525" spans="1:7" ht="16.5" customHeight="1">
      <c r="A525" s="19" t="s">
        <v>281</v>
      </c>
      <c r="E525" s="16"/>
      <c r="F525" s="16"/>
      <c r="G525" s="16"/>
    </row>
    <row r="526" spans="5:7" ht="16.5" customHeight="1">
      <c r="E526" s="16"/>
      <c r="F526" s="16"/>
      <c r="G526" s="16"/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Dixon</dc:creator>
  <cp:keywords/>
  <dc:description/>
  <cp:lastModifiedBy>Andrew R. Bayer</cp:lastModifiedBy>
  <cp:lastPrinted>2023-08-09T17:52:28Z</cp:lastPrinted>
  <dcterms:created xsi:type="dcterms:W3CDTF">2005-05-12T14:41:50Z</dcterms:created>
  <dcterms:modified xsi:type="dcterms:W3CDTF">2024-04-09T18:20:26Z</dcterms:modified>
  <cp:category/>
  <cp:version/>
  <cp:contentType/>
  <cp:contentStatus/>
</cp:coreProperties>
</file>